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360" yWindow="300" windowWidth="14880" windowHeight="7812" activeTab="1"/>
  </bookViews>
  <sheets>
    <sheet name="Vanos exteriores" sheetId="2" r:id="rId1"/>
    <sheet name="Voladizos" sheetId="1" r:id="rId2"/>
  </sheets>
  <calcPr calcId="125725"/>
</workbook>
</file>

<file path=xl/calcChain.xml><?xml version="1.0" encoding="utf-8"?>
<calcChain xmlns="http://schemas.openxmlformats.org/spreadsheetml/2006/main">
  <c r="D67" i="2"/>
  <c r="B67"/>
  <c r="D66"/>
  <c r="B66"/>
  <c r="D65"/>
  <c r="B65"/>
  <c r="D64"/>
  <c r="C60"/>
  <c r="D60" s="1"/>
  <c r="C59"/>
  <c r="D59" s="1"/>
  <c r="C58"/>
  <c r="D58" s="1"/>
  <c r="C57"/>
  <c r="D57" s="1"/>
  <c r="C56"/>
  <c r="D56" s="1"/>
  <c r="C55"/>
  <c r="D55" s="1"/>
  <c r="C54"/>
  <c r="D54" s="1"/>
  <c r="B44"/>
  <c r="D36"/>
  <c r="C36"/>
  <c r="B36"/>
  <c r="B37" s="1"/>
  <c r="B31"/>
  <c r="D30"/>
  <c r="C30"/>
  <c r="B30"/>
  <c r="B32" s="1"/>
  <c r="D25"/>
  <c r="C25"/>
  <c r="B25"/>
  <c r="D24"/>
  <c r="C24"/>
  <c r="C26" s="1"/>
  <c r="B24"/>
  <c r="B23"/>
  <c r="B22"/>
  <c r="B21" s="1"/>
  <c r="C19"/>
  <c r="D19" s="1"/>
  <c r="C18"/>
  <c r="C22" s="1"/>
  <c r="C17"/>
  <c r="D17" s="1"/>
  <c r="C16"/>
  <c r="D16" s="1"/>
  <c r="C15"/>
  <c r="D15" s="1"/>
  <c r="C14"/>
  <c r="D14" s="1"/>
  <c r="C13"/>
  <c r="D13" s="1"/>
  <c r="B12"/>
  <c r="B70" s="1"/>
  <c r="B72" s="1"/>
  <c r="B11"/>
  <c r="B10"/>
  <c r="C8"/>
  <c r="D8" s="1"/>
  <c r="C7"/>
  <c r="D7" s="1"/>
  <c r="C6"/>
  <c r="C44" s="1"/>
  <c r="B23" i="1"/>
  <c r="B42"/>
  <c r="B22"/>
  <c r="B34"/>
  <c r="B35" s="1"/>
  <c r="B49" s="1"/>
  <c r="D65"/>
  <c r="D64"/>
  <c r="D63"/>
  <c r="D62"/>
  <c r="C55"/>
  <c r="D55" s="1"/>
  <c r="C56"/>
  <c r="D56" s="1"/>
  <c r="B65"/>
  <c r="B64"/>
  <c r="B63"/>
  <c r="C52"/>
  <c r="D52" s="1"/>
  <c r="C53"/>
  <c r="D53" s="1"/>
  <c r="C58"/>
  <c r="D58" s="1"/>
  <c r="C57"/>
  <c r="D57" s="1"/>
  <c r="C54"/>
  <c r="D54" s="1"/>
  <c r="B28"/>
  <c r="B29" s="1"/>
  <c r="B21"/>
  <c r="B20"/>
  <c r="B19" s="1"/>
  <c r="B10"/>
  <c r="B9"/>
  <c r="D6" i="2" l="1"/>
  <c r="D23" s="1"/>
  <c r="C12"/>
  <c r="B20"/>
  <c r="B26"/>
  <c r="D26"/>
  <c r="D37"/>
  <c r="C11"/>
  <c r="C31"/>
  <c r="C38"/>
  <c r="B71"/>
  <c r="B73" s="1"/>
  <c r="B68" i="1"/>
  <c r="D11" i="2"/>
  <c r="C21"/>
  <c r="C23"/>
  <c r="D31"/>
  <c r="C32"/>
  <c r="C42" s="1"/>
  <c r="C43" s="1"/>
  <c r="C45" s="1"/>
  <c r="C37"/>
  <c r="B38"/>
  <c r="B42" s="1"/>
  <c r="B43" s="1"/>
  <c r="B45" s="1"/>
  <c r="D38"/>
  <c r="D44"/>
  <c r="D12"/>
  <c r="D18"/>
  <c r="D22" s="1"/>
  <c r="D21" s="1"/>
  <c r="B64"/>
  <c r="B24" i="1"/>
  <c r="B30"/>
  <c r="B36"/>
  <c r="B18"/>
  <c r="B69"/>
  <c r="B71" s="1"/>
  <c r="B70"/>
  <c r="B62"/>
  <c r="D20" i="2" l="1"/>
  <c r="B51"/>
  <c r="D32"/>
  <c r="D42" s="1"/>
  <c r="D43" s="1"/>
  <c r="D45" s="1"/>
  <c r="B41"/>
  <c r="C20"/>
  <c r="C41" s="1"/>
  <c r="B40" i="1"/>
  <c r="B41" s="1"/>
  <c r="B43" s="1"/>
  <c r="D41" i="2" l="1"/>
  <c r="B47" s="1"/>
  <c r="B74" s="1"/>
  <c r="B39" i="1"/>
  <c r="B45" s="1"/>
  <c r="B48" i="2" l="1"/>
  <c r="B76"/>
  <c r="B75"/>
  <c r="B77" s="1"/>
  <c r="B46" i="1" l="1"/>
  <c r="B72"/>
  <c r="B73" s="1"/>
  <c r="B75" s="1"/>
  <c r="B74" l="1"/>
</calcChain>
</file>

<file path=xl/comments1.xml><?xml version="1.0" encoding="utf-8"?>
<comments xmlns="http://schemas.openxmlformats.org/spreadsheetml/2006/main">
  <authors>
    <author>Autor</author>
  </authors>
  <commentList>
    <comment ref="B7" authorId="0">
      <text>
        <r>
          <rPr>
            <b/>
            <sz val="9"/>
            <color indexed="81"/>
            <rFont val="Tahoma"/>
            <family val="2"/>
          </rPr>
          <t>Banda de 100 centímetros</t>
        </r>
      </text>
    </comment>
    <comment ref="C7" authorId="0">
      <text>
        <r>
          <rPr>
            <b/>
            <sz val="9"/>
            <color indexed="81"/>
            <rFont val="Tahoma"/>
            <family val="2"/>
          </rPr>
          <t>Banda de 100 centímetros</t>
        </r>
      </text>
    </comment>
    <comment ref="D7" authorId="0">
      <text>
        <r>
          <rPr>
            <b/>
            <sz val="9"/>
            <color indexed="81"/>
            <rFont val="Tahoma"/>
            <family val="2"/>
          </rPr>
          <t>Banda de 100 centímetros</t>
        </r>
      </text>
    </comment>
    <comment ref="B8" authorId="0">
      <text>
        <r>
          <rPr>
            <b/>
            <sz val="9"/>
            <color indexed="81"/>
            <rFont val="Tahoma"/>
            <family val="2"/>
          </rPr>
          <t>Si sólo hay una capa, será igual al recubrimiento más el radio de las armaduras traccionadas</t>
        </r>
      </text>
    </comment>
    <comment ref="C8" authorId="0">
      <text>
        <r>
          <rPr>
            <b/>
            <sz val="9"/>
            <color indexed="81"/>
            <rFont val="Tahoma"/>
            <family val="2"/>
          </rPr>
          <t>Si sólo hay una capa, será igual al recubrimiento más el radio de las armaduras traccionadas</t>
        </r>
      </text>
    </comment>
    <comment ref="D8" authorId="0">
      <text>
        <r>
          <rPr>
            <b/>
            <sz val="9"/>
            <color indexed="81"/>
            <rFont val="Tahoma"/>
            <family val="2"/>
          </rPr>
          <t>Si sólo hay una capa, será igual al recubrimiento más el radio de las armaduras traccionadas</t>
        </r>
      </text>
    </comment>
    <comment ref="B9" authorId="0">
      <text>
        <r>
          <rPr>
            <sz val="9"/>
            <color indexed="81"/>
            <rFont val="Tahoma"/>
            <family val="2"/>
          </rPr>
          <t xml:space="preserve">Se utilizará únicamente en el cálculo de la esbeltez.
</t>
        </r>
      </text>
    </comment>
    <comment ref="B10" authorId="0">
      <text>
        <r>
          <rPr>
            <sz val="9"/>
            <color indexed="81"/>
            <rFont val="Tahoma"/>
            <family val="2"/>
          </rPr>
          <t>Según la tabla 50.2.2.1.a de la EHE-08, si es mayor que 23 es necesario comprobar flecha.</t>
        </r>
      </text>
    </comment>
    <comment ref="B16" authorId="0">
      <text>
        <r>
          <rPr>
            <b/>
            <sz val="9"/>
            <color indexed="81"/>
            <rFont val="Tahoma"/>
            <family val="2"/>
          </rPr>
          <t>Por defecto, utilizar 1,35</t>
        </r>
      </text>
    </comment>
    <comment ref="B17" authorId="0">
      <text>
        <r>
          <rPr>
            <b/>
            <sz val="9"/>
            <color indexed="81"/>
            <rFont val="Tahoma"/>
            <family val="2"/>
          </rPr>
          <t>Por defecto, utilizar 1,5</t>
        </r>
      </text>
    </comment>
    <comment ref="B22" authorId="0">
      <text>
        <r>
          <rPr>
            <sz val="9"/>
            <color indexed="81"/>
            <rFont val="Tahoma"/>
            <family val="2"/>
          </rPr>
          <t xml:space="preserve">fct,m = 0,30*fck^2/3 para fck &lt;= 50N/mm2,
fct,m = 0,58*fck^1/2 para fck &gt; 50 N/mm2
</t>
        </r>
      </text>
    </comment>
    <comment ref="B25" authorId="0">
      <text>
        <r>
          <rPr>
            <b/>
            <sz val="9"/>
            <color indexed="81"/>
            <rFont val="Tahoma"/>
            <charset val="1"/>
          </rPr>
          <t>Según EHE-08, artículo 39.6</t>
        </r>
      </text>
    </comment>
    <comment ref="A40" authorId="0">
      <text>
        <r>
          <rPr>
            <sz val="9"/>
            <color indexed="81"/>
            <rFont val="Tahoma"/>
            <family val="2"/>
          </rPr>
          <t>Valor absoluto del momento negativo en secciones i - d. Valor del momento positivo en la sección c</t>
        </r>
      </text>
    </comment>
    <comment ref="B40" authorId="0">
      <text>
        <r>
          <rPr>
            <sz val="9"/>
            <color indexed="81"/>
            <rFont val="Tahoma"/>
            <family val="2"/>
          </rPr>
          <t>Se tomarán los datos desde CYPECAD (pestaña de isovalores, combinación pésima, sin mayorar, tomando los datos a lo largo de 1 metro en el entorno del apoyo). 
Si es superior a Mfis, la sección está fisurada.</t>
        </r>
      </text>
    </comment>
    <comment ref="C40" authorId="0">
      <text>
        <r>
          <rPr>
            <sz val="9"/>
            <color indexed="81"/>
            <rFont val="Tahoma"/>
            <family val="2"/>
          </rPr>
          <t>Se tomarán los datos desde CYPECAD (pestaña de isovalores, combinación pésima, sin mayorar, tomando los datos a lo largo de 1 metro en el entorno del apoyo). 
Si es superior a Mfis, la sección está fisurada.</t>
        </r>
      </text>
    </comment>
    <comment ref="D40" authorId="0">
      <text>
        <r>
          <rPr>
            <sz val="9"/>
            <color indexed="81"/>
            <rFont val="Tahoma"/>
            <family val="2"/>
          </rPr>
          <t>Se tomarán los datos desde CYPECAD (pestaña de isovalores, combinación pésima, sin mayorar, tomando los datos a lo largo de 1 metro en el entorno del apoyo). 
Si es superior a Mfis, la sección está fisurada.</t>
        </r>
      </text>
    </comment>
    <comment ref="A42" authorId="0">
      <text>
        <r>
          <rPr>
            <b/>
            <sz val="9"/>
            <color indexed="81"/>
            <rFont val="Tahoma"/>
            <charset val="1"/>
          </rPr>
          <t>Según Anejo 8, artículo 2.2 de la EHE-08</t>
        </r>
      </text>
    </comment>
    <comment ref="A45" authorId="0">
      <text>
        <r>
          <rPr>
            <b/>
            <sz val="9"/>
            <color indexed="81"/>
            <rFont val="Tahoma"/>
            <family val="2"/>
          </rPr>
          <t>Según Anejo 8, artículo 2.2 de la EHE-08</t>
        </r>
      </text>
    </comment>
    <comment ref="D48" authorId="0">
      <text>
        <r>
          <rPr>
            <sz val="9"/>
            <color indexed="81"/>
            <rFont val="Tahoma"/>
            <family val="2"/>
          </rPr>
          <t>De forma conservadora se puede tomar ún mínimo de Ke=1,50
Para ello, hay que introducirlo en esta casilla. De esta forma se tendrá una amplificación de desplazamientos mayor. 
Si se desea utilizar el valor calculado en función de la luz introducida y del resto de parámetros, deberemos escribir un 0.</t>
        </r>
      </text>
    </comment>
    <comment ref="B50" authorId="0">
      <text>
        <r>
          <rPr>
            <sz val="9"/>
            <color indexed="81"/>
            <rFont val="Tahoma"/>
            <family val="2"/>
          </rPr>
          <t>Tomar el valor más desfavorable del tramo.
Si se desea, puede tomarse el valor de la casilla inferior.</t>
        </r>
      </text>
    </comment>
    <comment ref="D53" authorId="0">
      <text>
        <r>
          <rPr>
            <sz val="9"/>
            <color indexed="81"/>
            <rFont val="Tahoma"/>
            <family val="2"/>
          </rPr>
          <t>Constante para todo t</t>
        </r>
      </text>
    </comment>
    <comment ref="B69" authorId="0">
      <text>
        <r>
          <rPr>
            <b/>
            <sz val="9"/>
            <color indexed="81"/>
            <rFont val="Tahoma"/>
            <family val="2"/>
          </rPr>
          <t xml:space="preserve">Por normal general, es igual a 0,3
</t>
        </r>
      </text>
    </comment>
    <comment ref="A70" authorId="0">
      <text>
        <r>
          <rPr>
            <sz val="9"/>
            <color indexed="81"/>
            <rFont val="Tahoma"/>
            <family val="2"/>
          </rPr>
          <t>Según 50.2.2.3 de la EHE-08</t>
        </r>
      </text>
    </comment>
    <comment ref="A71" authorId="0">
      <text>
        <r>
          <rPr>
            <sz val="9"/>
            <color indexed="81"/>
            <rFont val="Tahoma"/>
            <family val="2"/>
          </rPr>
          <t>Según 50.2.2.3 de la EHE-08</t>
        </r>
      </text>
    </comment>
  </commentList>
</comments>
</file>

<file path=xl/comments2.xml><?xml version="1.0" encoding="utf-8"?>
<comments xmlns="http://schemas.openxmlformats.org/spreadsheetml/2006/main">
  <authors>
    <author>Autor</author>
  </authors>
  <commentList>
    <comment ref="B7" authorId="0">
      <text>
        <r>
          <rPr>
            <b/>
            <sz val="9"/>
            <color indexed="81"/>
            <rFont val="Tahoma"/>
            <family val="2"/>
          </rPr>
          <t>Banda de 100 centímetros</t>
        </r>
      </text>
    </comment>
    <comment ref="B8" authorId="0">
      <text>
        <r>
          <rPr>
            <b/>
            <sz val="9"/>
            <color indexed="81"/>
            <rFont val="Tahoma"/>
            <family val="2"/>
          </rPr>
          <t>Si sólo hay una capa, será igual al recubrimiento más el radio de las armaduras traccionadas</t>
        </r>
      </text>
    </comment>
    <comment ref="B14" authorId="0">
      <text>
        <r>
          <rPr>
            <b/>
            <sz val="9"/>
            <color indexed="81"/>
            <rFont val="Tahoma"/>
            <family val="2"/>
          </rPr>
          <t>Por defecto, utilizar 1,35</t>
        </r>
      </text>
    </comment>
    <comment ref="B15" authorId="0">
      <text>
        <r>
          <rPr>
            <b/>
            <sz val="9"/>
            <color indexed="81"/>
            <rFont val="Tahoma"/>
            <family val="2"/>
          </rPr>
          <t>Por defecto, utilizar 1,5</t>
        </r>
      </text>
    </comment>
    <comment ref="B20" authorId="0">
      <text>
        <r>
          <rPr>
            <sz val="9"/>
            <color indexed="81"/>
            <rFont val="Tahoma"/>
            <family val="2"/>
          </rPr>
          <t xml:space="preserve">fct,m = 0,30*fck^2/3 para fck &lt;= 50N/mm2,
fct,m = 0,58*fck^1/2 para fck &gt; 50 N/mm2
</t>
        </r>
      </text>
    </comment>
    <comment ref="B23" authorId="0">
      <text>
        <r>
          <rPr>
            <b/>
            <sz val="9"/>
            <color indexed="81"/>
            <rFont val="Tahoma"/>
            <charset val="1"/>
          </rPr>
          <t>Según EHE-08, artículo 39.6</t>
        </r>
      </text>
    </comment>
    <comment ref="A38" authorId="0">
      <text>
        <r>
          <rPr>
            <b/>
            <sz val="9"/>
            <color indexed="81"/>
            <rFont val="Tahoma"/>
            <family val="2"/>
          </rPr>
          <t>Valor absoluto del momento en la sección i.</t>
        </r>
      </text>
    </comment>
    <comment ref="B38" authorId="0">
      <text>
        <r>
          <rPr>
            <sz val="9"/>
            <color indexed="81"/>
            <rFont val="Tahoma"/>
            <family val="2"/>
          </rPr>
          <t>Se tomarán los datos desde CYPECAD (pestaña de isovalores, combinación pésima, sin mayorar, tomando los datos a lo largo de 1 metro en el entorno del apoyo). 
Si es superior a Mfis, la sección está fisurada.</t>
        </r>
      </text>
    </comment>
    <comment ref="A40" authorId="0">
      <text>
        <r>
          <rPr>
            <b/>
            <sz val="9"/>
            <color indexed="81"/>
            <rFont val="Tahoma"/>
            <charset val="1"/>
          </rPr>
          <t>Según Anejo 8, artículo 2.2 de la EHE-08</t>
        </r>
      </text>
    </comment>
    <comment ref="A43" authorId="0">
      <text>
        <r>
          <rPr>
            <b/>
            <sz val="9"/>
            <color indexed="81"/>
            <rFont val="Tahoma"/>
            <family val="2"/>
          </rPr>
          <t>Según Anejo 8, artículo 2.2 de la EHE-08</t>
        </r>
      </text>
    </comment>
    <comment ref="D46" authorId="0">
      <text>
        <r>
          <rPr>
            <sz val="9"/>
            <color indexed="81"/>
            <rFont val="Tahoma"/>
            <family val="2"/>
          </rPr>
          <t>De forma conservadora se puede tomar ún mínimo de Ke=1,50
Para ello, hay que introducirlo en esta casilla. De esta forma se tendrá una amplificación de desplazamientos mayor. 
Si se desea utilizar el valor calculado en función de la luz introducida y del resto de parámetros, deberemos escribir un 0.</t>
        </r>
      </text>
    </comment>
    <comment ref="B48" authorId="0">
      <text>
        <r>
          <rPr>
            <sz val="9"/>
            <color indexed="81"/>
            <rFont val="Tahoma"/>
            <family val="2"/>
          </rPr>
          <t>Tomar el valor más desfavorable del tramo.
Si se desea, puede tomarse el valor de la casilla inferior.</t>
        </r>
      </text>
    </comment>
    <comment ref="D51" authorId="0">
      <text>
        <r>
          <rPr>
            <sz val="9"/>
            <color indexed="81"/>
            <rFont val="Tahoma"/>
            <family val="2"/>
          </rPr>
          <t>Constante para todo t</t>
        </r>
      </text>
    </comment>
    <comment ref="B67" authorId="0">
      <text>
        <r>
          <rPr>
            <b/>
            <sz val="9"/>
            <color indexed="81"/>
            <rFont val="Tahoma"/>
            <family val="2"/>
          </rPr>
          <t xml:space="preserve">Por normal general, es igual a 0,3
</t>
        </r>
      </text>
    </comment>
    <comment ref="A68" authorId="0">
      <text>
        <r>
          <rPr>
            <sz val="9"/>
            <color indexed="81"/>
            <rFont val="Tahoma"/>
            <family val="2"/>
          </rPr>
          <t>Según 50.2.2.3 de la EHE-08</t>
        </r>
      </text>
    </comment>
    <comment ref="A69" authorId="0">
      <text>
        <r>
          <rPr>
            <sz val="9"/>
            <color indexed="81"/>
            <rFont val="Tahoma"/>
            <family val="2"/>
          </rPr>
          <t>Según 50.2.2.3 de la EHE-08</t>
        </r>
      </text>
    </comment>
  </commentList>
</comments>
</file>

<file path=xl/sharedStrings.xml><?xml version="1.0" encoding="utf-8"?>
<sst xmlns="http://schemas.openxmlformats.org/spreadsheetml/2006/main" count="152" uniqueCount="77">
  <si>
    <t>Luz (cm)</t>
  </si>
  <si>
    <t>Ancho de la sección b (cm)</t>
  </si>
  <si>
    <t>Canto losa h (cm)</t>
  </si>
  <si>
    <t>Inercia bruta de la sección Ib (cm4)</t>
  </si>
  <si>
    <t>Peso propio losa (kN/m2)</t>
  </si>
  <si>
    <t>Solado</t>
  </si>
  <si>
    <t>Sobrecarga de uso (kN/m2)</t>
  </si>
  <si>
    <t>Diámetro (mm)</t>
  </si>
  <si>
    <r>
      <t>Momento de fisuración M</t>
    </r>
    <r>
      <rPr>
        <i/>
        <sz val="8"/>
        <color theme="1"/>
        <rFont val="Calibri"/>
        <family val="2"/>
        <scheme val="minor"/>
      </rPr>
      <t xml:space="preserve">fis </t>
    </r>
    <r>
      <rPr>
        <i/>
        <sz val="11"/>
        <color theme="1"/>
        <rFont val="Calibri"/>
        <family val="2"/>
        <scheme val="minor"/>
      </rPr>
      <t>(kNm/m)</t>
    </r>
  </si>
  <si>
    <r>
      <t>Resistencia media del hormigón a flexotracción f</t>
    </r>
    <r>
      <rPr>
        <i/>
        <sz val="8"/>
        <color theme="1"/>
        <rFont val="Calibri"/>
        <family val="2"/>
        <scheme val="minor"/>
      </rPr>
      <t>ct,m,fl</t>
    </r>
    <r>
      <rPr>
        <i/>
        <sz val="11"/>
        <color theme="1"/>
        <rFont val="Calibri"/>
        <family val="2"/>
        <scheme val="minor"/>
      </rPr>
      <t xml:space="preserve"> (N/mm2)</t>
    </r>
  </si>
  <si>
    <r>
      <t>Resistencia media del hormigón a tracción f</t>
    </r>
    <r>
      <rPr>
        <i/>
        <sz val="8"/>
        <color theme="1"/>
        <rFont val="Calibri"/>
        <family val="2"/>
        <scheme val="minor"/>
      </rPr>
      <t>ct,m</t>
    </r>
    <r>
      <rPr>
        <i/>
        <sz val="11"/>
        <color theme="1"/>
        <rFont val="Calibri"/>
        <family val="2"/>
        <scheme val="minor"/>
      </rPr>
      <t xml:space="preserve"> (N/mm2)</t>
    </r>
  </si>
  <si>
    <t>Separación entre barras (cm)</t>
  </si>
  <si>
    <t>t</t>
  </si>
  <si>
    <t>1 año</t>
  </si>
  <si>
    <t>6 meses</t>
  </si>
  <si>
    <t>1 mes</t>
  </si>
  <si>
    <t>2 semanas</t>
  </si>
  <si>
    <t>Coeficiente corrector debido a la fisuración de las secciones, Ke</t>
  </si>
  <si>
    <t>λ</t>
  </si>
  <si>
    <t>Cuantía media de la armadura comprimida (‰)</t>
  </si>
  <si>
    <t>Relación ξ/λ</t>
  </si>
  <si>
    <t>Armadura a tracción calculada:</t>
  </si>
  <si>
    <t>Carga permanente</t>
  </si>
  <si>
    <t>Valor</t>
  </si>
  <si>
    <t>kN/m2</t>
  </si>
  <si>
    <t>días</t>
  </si>
  <si>
    <t>Peso propio</t>
  </si>
  <si>
    <t>Tabiquería</t>
  </si>
  <si>
    <t>Sobrecarga de uso</t>
  </si>
  <si>
    <r>
      <t>Módulo resistente de la sección bruta respecto a la fibra extrema en tracción W</t>
    </r>
    <r>
      <rPr>
        <i/>
        <sz val="8"/>
        <color theme="1"/>
        <rFont val="Calibri"/>
        <family val="2"/>
        <scheme val="minor"/>
      </rPr>
      <t>b</t>
    </r>
    <r>
      <rPr>
        <i/>
        <sz val="11"/>
        <color theme="1"/>
        <rFont val="Calibri"/>
        <family val="2"/>
        <scheme val="minor"/>
      </rPr>
      <t xml:space="preserve"> (mm3)</t>
    </r>
  </si>
  <si>
    <t>Parte cuasi permanente de la sobrecarga de uso que produce flecha diferida</t>
  </si>
  <si>
    <t>2 meses</t>
  </si>
  <si>
    <t>4 meses</t>
  </si>
  <si>
    <t>Amplificación de los desplazamientos (flecha total a plazo infinito)</t>
  </si>
  <si>
    <t>ξ medio (flecha total a plazo infinito)</t>
  </si>
  <si>
    <t>ξ medio (flecha activa)</t>
  </si>
  <si>
    <t>Relación fdif/finst (flecha diferida total/flecha instantánea corregida por la reducción de inercia debida a la fisuración) = λ medio (flecha total a plazo infinito)</t>
  </si>
  <si>
    <t>Relación fdif/finst (flecha diferida total/flecha instantánea corregida por la reducción de inercia debida a la fisuración) = λ medio (flecha activa)</t>
  </si>
  <si>
    <t>Relación finst/fi (flecha instantánea corregida por la reducción de inercia debida a la fisuración/flecha instantánea), flecha total a plazo infinito</t>
  </si>
  <si>
    <t>Relación finst/fi (flecha instantánea corregida por la reducción de inercia debida a la fisuración/flecha instantánea), flecha activa</t>
  </si>
  <si>
    <t>Amplificación de los desplazamientos (flecha activa)</t>
  </si>
  <si>
    <t>Valor conservador del Ke:</t>
  </si>
  <si>
    <t>Peso de tabiquería, ejecutada a los 60 días (kN/m2)</t>
  </si>
  <si>
    <t>Peso de solado, ejecutado a los 120 días (kN/m2)</t>
  </si>
  <si>
    <t>Coeficiente de mayoración de cargas permanentes</t>
  </si>
  <si>
    <t>Coeficiente de mayoración de sobrecarga de uso</t>
  </si>
  <si>
    <r>
      <t>ξ = ξ (</t>
    </r>
    <r>
      <rPr>
        <sz val="10"/>
        <color rgb="FF000000"/>
        <rFont val="Cambria"/>
        <family val="1"/>
        <scheme val="major"/>
      </rPr>
      <t>∞</t>
    </r>
    <r>
      <rPr>
        <sz val="10"/>
        <color rgb="FF000000"/>
        <rFont val="Calibri"/>
        <family val="2"/>
        <scheme val="minor"/>
      </rPr>
      <t>) - ξ (t)</t>
    </r>
  </si>
  <si>
    <t>Armadura a compresión calculada:</t>
  </si>
  <si>
    <t>Área de acero a tracción por metro lineal (cm2/m)</t>
  </si>
  <si>
    <t>Área de acero a compresión por metro lineal (cm2/m)</t>
  </si>
  <si>
    <t>Cuantía de acero a compresión (‰) As2</t>
  </si>
  <si>
    <t>Distancia entre el centro de gravedad de las armaduras traccionadas y la cara exterior más cercana de la losa d' (cm)</t>
  </si>
  <si>
    <r>
      <t>Resistencia característica del acero f</t>
    </r>
    <r>
      <rPr>
        <sz val="8"/>
        <color theme="1"/>
        <rFont val="Calibri"/>
        <family val="2"/>
        <scheme val="minor"/>
      </rPr>
      <t>yk</t>
    </r>
    <r>
      <rPr>
        <sz val="11"/>
        <color theme="1"/>
        <rFont val="Calibri"/>
        <family val="2"/>
        <scheme val="minor"/>
      </rPr>
      <t xml:space="preserve"> (N/mm2)</t>
    </r>
  </si>
  <si>
    <r>
      <t>Resistencia característica del hormigón f</t>
    </r>
    <r>
      <rPr>
        <sz val="8"/>
        <color theme="1"/>
        <rFont val="Calibri"/>
        <family val="2"/>
        <scheme val="minor"/>
      </rPr>
      <t>ck</t>
    </r>
    <r>
      <rPr>
        <sz val="11"/>
        <color theme="1"/>
        <rFont val="Calibri"/>
        <family val="2"/>
        <scheme val="minor"/>
      </rPr>
      <t xml:space="preserve"> (N/mm2)</t>
    </r>
  </si>
  <si>
    <t xml:space="preserve">Cuantía de acero a tracción (‰) </t>
  </si>
  <si>
    <t>Altura d, d=h-d' (cm)</t>
  </si>
  <si>
    <t>Relación n=Es/Ec</t>
  </si>
  <si>
    <t>Módulo de elasticidad longitudinal del acero Es (N/mm2)</t>
  </si>
  <si>
    <t>Módulo de elasticidad secante del hormigón HA25 a los 28 días Ec (N/mm2)</t>
  </si>
  <si>
    <r>
      <t>ρ</t>
    </r>
    <r>
      <rPr>
        <i/>
        <sz val="8"/>
        <color theme="1"/>
        <rFont val="Calibri"/>
        <family val="2"/>
        <scheme val="minor"/>
      </rPr>
      <t>1</t>
    </r>
  </si>
  <si>
    <r>
      <t>ρ</t>
    </r>
    <r>
      <rPr>
        <i/>
        <sz val="8"/>
        <color theme="1"/>
        <rFont val="Calibri"/>
        <family val="2"/>
        <scheme val="minor"/>
      </rPr>
      <t>2</t>
    </r>
  </si>
  <si>
    <r>
      <t>Inercia equivalente de Branson de la sección I</t>
    </r>
    <r>
      <rPr>
        <i/>
        <sz val="8"/>
        <color theme="1"/>
        <rFont val="Calibri"/>
        <family val="2"/>
        <scheme val="minor"/>
      </rPr>
      <t>e</t>
    </r>
    <r>
      <rPr>
        <i/>
        <sz val="11"/>
        <color theme="1"/>
        <rFont val="Calibri"/>
        <family val="2"/>
        <scheme val="minor"/>
      </rPr>
      <t xml:space="preserve"> (cm4/m)</t>
    </r>
  </si>
  <si>
    <r>
      <t>Inercia de la sección fisurada en flexión simple I</t>
    </r>
    <r>
      <rPr>
        <sz val="8"/>
        <color theme="1"/>
        <rFont val="Calibri"/>
        <family val="2"/>
        <scheme val="minor"/>
      </rPr>
      <t>fis</t>
    </r>
    <r>
      <rPr>
        <sz val="11"/>
        <color theme="1"/>
        <rFont val="Calibri"/>
        <family val="2"/>
        <scheme val="minor"/>
      </rPr>
      <t xml:space="preserve"> (cm4/m)</t>
    </r>
  </si>
  <si>
    <t>Sección c (centro de vano)</t>
  </si>
  <si>
    <t>Momento de servicio (combinación pésima, sin mayorar), valor absoluto (kNm/m)</t>
  </si>
  <si>
    <t>Modo de utilización: introducir los parámetros necesarios en las casillas de color blanco.</t>
  </si>
  <si>
    <t>Esbeltez (luz/canto)</t>
  </si>
  <si>
    <r>
      <t>Inercia media equivalente del tramo I</t>
    </r>
    <r>
      <rPr>
        <i/>
        <sz val="8"/>
        <color theme="1"/>
        <rFont val="Calibri"/>
        <family val="2"/>
        <scheme val="minor"/>
      </rPr>
      <t>e</t>
    </r>
    <r>
      <rPr>
        <i/>
        <sz val="11"/>
        <color theme="1"/>
        <rFont val="Calibri"/>
        <family val="2"/>
        <scheme val="minor"/>
      </rPr>
      <t xml:space="preserve"> (cm4/m)</t>
    </r>
  </si>
  <si>
    <r>
      <rPr>
        <b/>
        <i/>
        <sz val="11"/>
        <color theme="1"/>
        <rFont val="Bell MT"/>
        <family val="1"/>
      </rPr>
      <t>∞</t>
    </r>
    <r>
      <rPr>
        <b/>
        <i/>
        <sz val="11"/>
        <color theme="1"/>
        <rFont val="Calibri"/>
        <family val="2"/>
        <scheme val="minor"/>
      </rPr>
      <t xml:space="preserve"> ≥  5 años</t>
    </r>
  </si>
  <si>
    <r>
      <t xml:space="preserve">ξ </t>
    </r>
    <r>
      <rPr>
        <sz val="11"/>
        <color theme="1"/>
        <rFont val="Calibri"/>
        <family val="2"/>
        <scheme val="minor"/>
      </rPr>
      <t>(t)</t>
    </r>
  </si>
  <si>
    <t>Distancia de la fibra neutra respecto a la cara exterior, X (cm)</t>
  </si>
  <si>
    <t>Profundidad relativa de la fibra neutra, X/d</t>
  </si>
  <si>
    <t>CÁLCULO DE FACTOR DE AMPLIFICACIÓN DE DESPLAZAMIENTOS EN LOSAS MACIZAS, VOLADIZOS</t>
  </si>
  <si>
    <t>Sección i arranque del voladizo</t>
  </si>
  <si>
    <t>CÁLCULO DE FACTOR DE AMPLIFICACIÓN DE DESPLAZAMIENTOS EN LOSAS MACIZAS, VANOS EXTERIORES</t>
  </si>
  <si>
    <t>Sección d (apoyo exterior)</t>
  </si>
  <si>
    <t>Sección i (apoyo interior)</t>
  </si>
</sst>
</file>

<file path=xl/styles.xml><?xml version="1.0" encoding="utf-8"?>
<styleSheet xmlns="http://schemas.openxmlformats.org/spreadsheetml/2006/main">
  <fonts count="19">
    <font>
      <sz val="11"/>
      <color theme="1"/>
      <name val="Calibri"/>
      <family val="2"/>
      <scheme val="minor"/>
    </font>
    <font>
      <b/>
      <sz val="11"/>
      <color theme="1"/>
      <name val="Calibri"/>
      <family val="2"/>
      <scheme val="minor"/>
    </font>
    <font>
      <i/>
      <sz val="11"/>
      <color theme="1"/>
      <name val="Calibri"/>
      <family val="2"/>
      <scheme val="minor"/>
    </font>
    <font>
      <sz val="8"/>
      <color theme="1"/>
      <name val="Calibri"/>
      <family val="2"/>
      <scheme val="minor"/>
    </font>
    <font>
      <i/>
      <sz val="8"/>
      <color theme="1"/>
      <name val="Calibri"/>
      <family val="2"/>
      <scheme val="minor"/>
    </font>
    <font>
      <sz val="9"/>
      <color indexed="81"/>
      <name val="Tahoma"/>
      <family val="2"/>
    </font>
    <font>
      <b/>
      <sz val="9"/>
      <color indexed="81"/>
      <name val="Tahoma"/>
      <family val="2"/>
    </font>
    <font>
      <b/>
      <i/>
      <sz val="11"/>
      <color theme="1"/>
      <name val="Calibri"/>
      <family val="2"/>
      <scheme val="minor"/>
    </font>
    <font>
      <b/>
      <sz val="16"/>
      <color theme="1"/>
      <name val="Calibri"/>
      <family val="2"/>
      <scheme val="minor"/>
    </font>
    <font>
      <b/>
      <sz val="10"/>
      <color rgb="FF000000"/>
      <name val="Calibri"/>
      <family val="2"/>
      <scheme val="minor"/>
    </font>
    <font>
      <sz val="10"/>
      <color rgb="FF000000"/>
      <name val="Calibri"/>
      <family val="2"/>
      <scheme val="minor"/>
    </font>
    <font>
      <i/>
      <sz val="10"/>
      <color rgb="FF000000"/>
      <name val="Calibri"/>
      <family val="2"/>
      <scheme val="minor"/>
    </font>
    <font>
      <b/>
      <i/>
      <sz val="14"/>
      <color rgb="FF0070C0"/>
      <name val="Calibri"/>
      <family val="2"/>
      <scheme val="minor"/>
    </font>
    <font>
      <b/>
      <sz val="20"/>
      <color rgb="FF0070C0"/>
      <name val="Calibri"/>
      <family val="2"/>
      <scheme val="minor"/>
    </font>
    <font>
      <sz val="10"/>
      <color rgb="FF000000"/>
      <name val="Cambria"/>
      <family val="1"/>
      <scheme val="major"/>
    </font>
    <font>
      <b/>
      <sz val="9"/>
      <color indexed="81"/>
      <name val="Tahoma"/>
      <charset val="1"/>
    </font>
    <font>
      <sz val="11"/>
      <color theme="0" tint="-0.499984740745262"/>
      <name val="Calibri"/>
      <family val="2"/>
      <scheme val="minor"/>
    </font>
    <font>
      <i/>
      <sz val="12"/>
      <color theme="1"/>
      <name val="Calibri"/>
      <family val="2"/>
      <scheme val="minor"/>
    </font>
    <font>
      <b/>
      <i/>
      <sz val="11"/>
      <color theme="1"/>
      <name val="Bell MT"/>
      <family val="1"/>
    </font>
  </fonts>
  <fills count="4">
    <fill>
      <patternFill patternType="none"/>
    </fill>
    <fill>
      <patternFill patternType="gray125"/>
    </fill>
    <fill>
      <patternFill patternType="solid">
        <fgColor theme="0" tint="-0.14996795556505021"/>
        <bgColor indexed="64"/>
      </patternFill>
    </fill>
    <fill>
      <patternFill patternType="solid">
        <fgColor theme="0"/>
        <bgColor indexed="64"/>
      </patternFill>
    </fill>
  </fills>
  <borders count="8">
    <border>
      <left/>
      <right/>
      <top/>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top/>
      <bottom style="thick">
        <color auto="1"/>
      </bottom>
      <diagonal/>
    </border>
    <border>
      <left style="medium">
        <color auto="1"/>
      </left>
      <right style="medium">
        <color auto="1"/>
      </right>
      <top style="medium">
        <color auto="1"/>
      </top>
      <bottom style="medium">
        <color auto="1"/>
      </bottom>
      <diagonal/>
    </border>
    <border>
      <left style="medium">
        <color rgb="FF000000"/>
      </left>
      <right/>
      <top/>
      <bottom/>
      <diagonal/>
    </border>
  </borders>
  <cellStyleXfs count="1">
    <xf numFmtId="0" fontId="0" fillId="0" borderId="0"/>
  </cellStyleXfs>
  <cellXfs count="39">
    <xf numFmtId="0" fontId="0" fillId="0" borderId="0" xfId="0"/>
    <xf numFmtId="0" fontId="0" fillId="2" borderId="0" xfId="0" applyFill="1" applyBorder="1"/>
    <xf numFmtId="0" fontId="0" fillId="2" borderId="0" xfId="0" applyFill="1"/>
    <xf numFmtId="0" fontId="2" fillId="2" borderId="0" xfId="0" applyFont="1" applyFill="1" applyBorder="1"/>
    <xf numFmtId="0" fontId="2" fillId="2" borderId="0" xfId="0" applyFont="1" applyFill="1"/>
    <xf numFmtId="0" fontId="2" fillId="2" borderId="0" xfId="0" applyFont="1" applyFill="1" applyAlignment="1">
      <alignment wrapText="1"/>
    </xf>
    <xf numFmtId="0" fontId="9" fillId="2" borderId="3"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1" fillId="2" borderId="1" xfId="0" applyFont="1" applyFill="1" applyBorder="1" applyAlignment="1">
      <alignment horizontal="center" wrapText="1"/>
    </xf>
    <xf numFmtId="0" fontId="10" fillId="2" borderId="1" xfId="0" applyFont="1" applyFill="1" applyBorder="1" applyAlignment="1">
      <alignment horizontal="center" wrapText="1"/>
    </xf>
    <xf numFmtId="0" fontId="2" fillId="2" borderId="0" xfId="0" applyFont="1" applyFill="1" applyBorder="1" applyAlignment="1">
      <alignment wrapText="1"/>
    </xf>
    <xf numFmtId="0" fontId="1" fillId="3" borderId="0" xfId="0" applyFont="1" applyFill="1" applyBorder="1"/>
    <xf numFmtId="0" fontId="1" fillId="3" borderId="0" xfId="0" applyFont="1" applyFill="1"/>
    <xf numFmtId="0" fontId="7" fillId="3" borderId="0" xfId="0" applyFont="1" applyFill="1"/>
    <xf numFmtId="0" fontId="12" fillId="2" borderId="0" xfId="0" applyFont="1" applyFill="1" applyBorder="1" applyAlignment="1">
      <alignment wrapText="1"/>
    </xf>
    <xf numFmtId="0" fontId="13" fillId="2" borderId="0" xfId="0" applyFont="1" applyFill="1"/>
    <xf numFmtId="0" fontId="9" fillId="2" borderId="0" xfId="0" applyFont="1" applyFill="1" applyBorder="1" applyAlignment="1">
      <alignment horizontal="left" vertical="center" wrapText="1"/>
    </xf>
    <xf numFmtId="0" fontId="11" fillId="2" borderId="0" xfId="0" applyFont="1" applyFill="1" applyBorder="1" applyAlignment="1">
      <alignment horizontal="center" wrapText="1"/>
    </xf>
    <xf numFmtId="0" fontId="10" fillId="2" borderId="0" xfId="0" applyFont="1" applyFill="1" applyBorder="1" applyAlignment="1">
      <alignment horizontal="center" wrapText="1"/>
    </xf>
    <xf numFmtId="0" fontId="0" fillId="2" borderId="0" xfId="0" applyFont="1" applyFill="1" applyBorder="1" applyAlignment="1">
      <alignment vertical="top" wrapText="1"/>
    </xf>
    <xf numFmtId="0" fontId="8" fillId="2" borderId="0" xfId="0" applyFont="1" applyFill="1" applyAlignment="1">
      <alignment wrapText="1"/>
    </xf>
    <xf numFmtId="0" fontId="0" fillId="2" borderId="0" xfId="0" applyFill="1" applyBorder="1" applyAlignment="1">
      <alignment wrapText="1"/>
    </xf>
    <xf numFmtId="0" fontId="2" fillId="2" borderId="0" xfId="0" applyFont="1" applyFill="1" applyAlignment="1">
      <alignment horizontal="right" vertical="center" wrapText="1"/>
    </xf>
    <xf numFmtId="0" fontId="0" fillId="2" borderId="0" xfId="0" applyFont="1" applyFill="1" applyBorder="1"/>
    <xf numFmtId="0" fontId="0" fillId="2" borderId="0" xfId="0" applyFont="1" applyFill="1"/>
    <xf numFmtId="0" fontId="9" fillId="2" borderId="2" xfId="0" applyFont="1" applyFill="1" applyBorder="1" applyAlignment="1">
      <alignment horizontal="left" vertical="center" wrapText="1"/>
    </xf>
    <xf numFmtId="0" fontId="9" fillId="2" borderId="4" xfId="0" applyFont="1" applyFill="1" applyBorder="1" applyAlignment="1">
      <alignment horizontal="left" vertical="center" wrapText="1"/>
    </xf>
    <xf numFmtId="0" fontId="10" fillId="2" borderId="2" xfId="0" applyFont="1" applyFill="1" applyBorder="1" applyAlignment="1">
      <alignment horizontal="center" wrapText="1"/>
    </xf>
    <xf numFmtId="0" fontId="10" fillId="2" borderId="4" xfId="0" applyFont="1" applyFill="1" applyBorder="1" applyAlignment="1">
      <alignment horizontal="center" wrapText="1"/>
    </xf>
    <xf numFmtId="0" fontId="2" fillId="2" borderId="5" xfId="0" applyFont="1" applyFill="1" applyBorder="1"/>
    <xf numFmtId="0" fontId="0" fillId="2" borderId="5" xfId="0" applyFill="1" applyBorder="1"/>
    <xf numFmtId="0" fontId="16" fillId="2" borderId="0" xfId="0" applyFont="1" applyFill="1"/>
    <xf numFmtId="0" fontId="17" fillId="2" borderId="0" xfId="0" applyFont="1" applyFill="1" applyAlignment="1">
      <alignment wrapText="1"/>
    </xf>
    <xf numFmtId="0" fontId="2" fillId="2" borderId="6" xfId="0" applyFont="1" applyFill="1" applyBorder="1"/>
    <xf numFmtId="0" fontId="7" fillId="2" borderId="6" xfId="0" applyFont="1" applyFill="1" applyBorder="1"/>
    <xf numFmtId="0" fontId="1" fillId="2" borderId="6" xfId="0" applyFont="1" applyFill="1" applyBorder="1"/>
    <xf numFmtId="0" fontId="10" fillId="2" borderId="7" xfId="0" applyFont="1" applyFill="1" applyBorder="1" applyAlignment="1">
      <alignment horizontal="center" vertical="top" wrapText="1"/>
    </xf>
    <xf numFmtId="0" fontId="0" fillId="2" borderId="7" xfId="0" applyFont="1" applyFill="1" applyBorder="1" applyAlignment="1">
      <alignment vertical="top" wrapText="1"/>
    </xf>
    <xf numFmtId="0" fontId="2" fillId="2" borderId="0" xfId="0" applyFont="1" applyFill="1" applyAlignment="1">
      <alignment horizontal="left"/>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333375</xdr:rowOff>
    </xdr:from>
    <xdr:to>
      <xdr:col>3</xdr:col>
      <xdr:colOff>676274</xdr:colOff>
      <xdr:row>2</xdr:row>
      <xdr:rowOff>68586</xdr:rowOff>
    </xdr:to>
    <xdr:pic>
      <xdr:nvPicPr>
        <xdr:cNvPr id="2" name="Picture 3"/>
        <xdr:cNvPicPr>
          <a:picLocks noChangeAspect="1" noChangeArrowheads="1"/>
        </xdr:cNvPicPr>
      </xdr:nvPicPr>
      <xdr:blipFill>
        <a:blip xmlns:r="http://schemas.openxmlformats.org/officeDocument/2006/relationships" r:embed="rId1" cstate="print">
          <a:lum bright="-30000" contrast="38000"/>
        </a:blip>
        <a:srcRect l="23750" t="71289" r="50120" b="15234"/>
        <a:stretch>
          <a:fillRect/>
        </a:stretch>
      </xdr:blipFill>
      <xdr:spPr bwMode="auto">
        <a:xfrm>
          <a:off x="5105400" y="333375"/>
          <a:ext cx="2266949" cy="935361"/>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AW77"/>
  <sheetViews>
    <sheetView topLeftCell="A43" workbookViewId="0">
      <selection activeCell="F45" sqref="F45"/>
    </sheetView>
  </sheetViews>
  <sheetFormatPr baseColWidth="10" defaultRowHeight="14.4"/>
  <cols>
    <col min="1" max="1" width="75.88671875" style="2" customWidth="1"/>
    <col min="2" max="2" width="12.109375" style="2" customWidth="1"/>
    <col min="3" max="3" width="12.44140625" style="2" customWidth="1"/>
    <col min="4" max="4" width="12.33203125" style="2" customWidth="1"/>
    <col min="5" max="49" width="11.44140625" style="2"/>
  </cols>
  <sheetData>
    <row r="1" spans="1:49" ht="63">
      <c r="A1" s="20" t="s">
        <v>74</v>
      </c>
      <c r="AR1"/>
      <c r="AS1"/>
      <c r="AT1"/>
      <c r="AU1"/>
      <c r="AV1"/>
      <c r="AW1"/>
    </row>
    <row r="2" spans="1:49" ht="31.2">
      <c r="A2" s="32" t="s">
        <v>65</v>
      </c>
      <c r="AR2"/>
      <c r="AS2"/>
      <c r="AT2"/>
      <c r="AU2"/>
      <c r="AV2"/>
      <c r="AW2"/>
    </row>
    <row r="3" spans="1:49" ht="15.6">
      <c r="A3" s="32"/>
      <c r="AR3"/>
      <c r="AS3"/>
      <c r="AT3"/>
      <c r="AU3"/>
      <c r="AV3"/>
      <c r="AW3"/>
    </row>
    <row r="4" spans="1:49" ht="57" customHeight="1">
      <c r="A4" s="32"/>
      <c r="B4" s="5" t="s">
        <v>76</v>
      </c>
      <c r="C4" s="5" t="s">
        <v>63</v>
      </c>
      <c r="D4" s="5" t="s">
        <v>75</v>
      </c>
      <c r="AR4"/>
      <c r="AS4"/>
      <c r="AT4"/>
      <c r="AU4"/>
      <c r="AV4"/>
      <c r="AW4"/>
    </row>
    <row r="5" spans="1:49" ht="15.6">
      <c r="A5" s="32"/>
      <c r="AR5"/>
      <c r="AS5"/>
      <c r="AT5"/>
      <c r="AU5"/>
      <c r="AV5"/>
      <c r="AW5"/>
    </row>
    <row r="6" spans="1:49">
      <c r="A6" s="1" t="s">
        <v>2</v>
      </c>
      <c r="B6" s="11">
        <v>26</v>
      </c>
      <c r="C6" s="23">
        <f>B6</f>
        <v>26</v>
      </c>
      <c r="D6" s="23">
        <f>C6</f>
        <v>26</v>
      </c>
      <c r="AR6"/>
      <c r="AS6"/>
      <c r="AT6"/>
      <c r="AU6"/>
      <c r="AV6"/>
      <c r="AW6"/>
    </row>
    <row r="7" spans="1:49">
      <c r="A7" s="1" t="s">
        <v>1</v>
      </c>
      <c r="B7" s="23">
        <v>100</v>
      </c>
      <c r="C7" s="23">
        <f t="shared" ref="C7:D8" si="0">B7</f>
        <v>100</v>
      </c>
      <c r="D7" s="23">
        <f t="shared" si="0"/>
        <v>100</v>
      </c>
      <c r="AR7"/>
      <c r="AS7"/>
      <c r="AT7"/>
      <c r="AU7"/>
      <c r="AV7"/>
      <c r="AW7"/>
    </row>
    <row r="8" spans="1:49" ht="28.8">
      <c r="A8" s="21" t="s">
        <v>51</v>
      </c>
      <c r="B8" s="11">
        <v>3.5</v>
      </c>
      <c r="C8" s="23">
        <f t="shared" si="0"/>
        <v>3.5</v>
      </c>
      <c r="D8" s="23">
        <f t="shared" si="0"/>
        <v>3.5</v>
      </c>
      <c r="AR8"/>
      <c r="AS8"/>
      <c r="AT8"/>
      <c r="AU8"/>
      <c r="AV8"/>
      <c r="AW8"/>
    </row>
    <row r="9" spans="1:49">
      <c r="A9" s="1" t="s">
        <v>0</v>
      </c>
      <c r="B9" s="11">
        <v>650</v>
      </c>
      <c r="C9" s="24"/>
      <c r="D9" s="24"/>
      <c r="AR9"/>
      <c r="AS9"/>
      <c r="AT9"/>
      <c r="AU9"/>
      <c r="AV9"/>
      <c r="AW9"/>
    </row>
    <row r="10" spans="1:49">
      <c r="A10" s="3" t="s">
        <v>66</v>
      </c>
      <c r="B10" s="3">
        <f>B9/B6</f>
        <v>25</v>
      </c>
      <c r="C10" s="4"/>
      <c r="AR10"/>
      <c r="AS10"/>
      <c r="AT10"/>
      <c r="AU10"/>
      <c r="AV10"/>
      <c r="AW10"/>
    </row>
    <row r="11" spans="1:49">
      <c r="A11" s="3" t="s">
        <v>3</v>
      </c>
      <c r="B11" s="3">
        <f>B7*(B6^3)/12</f>
        <v>146466.66666666666</v>
      </c>
      <c r="C11" s="3">
        <f t="shared" ref="C11" si="1">C7*(C6^3)/12</f>
        <v>146466.66666666666</v>
      </c>
      <c r="D11" s="3">
        <f>D7*(D6^3)/12</f>
        <v>146466.66666666666</v>
      </c>
      <c r="AR11"/>
      <c r="AS11"/>
      <c r="AT11"/>
      <c r="AU11"/>
      <c r="AV11"/>
      <c r="AW11"/>
    </row>
    <row r="12" spans="1:49">
      <c r="A12" s="3" t="s">
        <v>4</v>
      </c>
      <c r="B12" s="3">
        <f>B6*2.5/10</f>
        <v>6.5</v>
      </c>
      <c r="C12" s="3">
        <f t="shared" ref="C12:D12" si="2">C6*2.5/10</f>
        <v>6.5</v>
      </c>
      <c r="D12" s="3">
        <f t="shared" si="2"/>
        <v>6.5</v>
      </c>
      <c r="AR12"/>
      <c r="AS12"/>
      <c r="AT12"/>
      <c r="AU12"/>
      <c r="AV12"/>
      <c r="AW12"/>
    </row>
    <row r="13" spans="1:49">
      <c r="A13" s="1" t="s">
        <v>42</v>
      </c>
      <c r="B13" s="11">
        <v>1</v>
      </c>
      <c r="C13" s="2">
        <f t="shared" ref="C13:D19" si="3">B13</f>
        <v>1</v>
      </c>
      <c r="D13" s="2">
        <f t="shared" si="3"/>
        <v>1</v>
      </c>
      <c r="AR13"/>
      <c r="AS13"/>
      <c r="AT13"/>
      <c r="AU13"/>
      <c r="AV13"/>
      <c r="AW13"/>
    </row>
    <row r="14" spans="1:49">
      <c r="A14" s="1" t="s">
        <v>43</v>
      </c>
      <c r="B14" s="11">
        <v>1</v>
      </c>
      <c r="C14" s="2">
        <f t="shared" si="3"/>
        <v>1</v>
      </c>
      <c r="D14" s="2">
        <f t="shared" si="3"/>
        <v>1</v>
      </c>
      <c r="AR14"/>
      <c r="AS14"/>
      <c r="AT14"/>
      <c r="AU14"/>
      <c r="AV14"/>
      <c r="AW14"/>
    </row>
    <row r="15" spans="1:49">
      <c r="A15" s="1" t="s">
        <v>6</v>
      </c>
      <c r="B15" s="11">
        <v>2</v>
      </c>
      <c r="C15" s="2">
        <f t="shared" si="3"/>
        <v>2</v>
      </c>
      <c r="D15" s="2">
        <f t="shared" si="3"/>
        <v>2</v>
      </c>
      <c r="AR15"/>
      <c r="AS15"/>
      <c r="AT15"/>
      <c r="AU15"/>
      <c r="AV15"/>
      <c r="AW15"/>
    </row>
    <row r="16" spans="1:49">
      <c r="A16" s="1" t="s">
        <v>44</v>
      </c>
      <c r="B16" s="11">
        <v>1.35</v>
      </c>
      <c r="C16" s="2">
        <f t="shared" si="3"/>
        <v>1.35</v>
      </c>
      <c r="D16" s="2">
        <f t="shared" si="3"/>
        <v>1.35</v>
      </c>
      <c r="AR16"/>
      <c r="AS16"/>
      <c r="AT16"/>
      <c r="AU16"/>
      <c r="AV16"/>
      <c r="AW16"/>
    </row>
    <row r="17" spans="1:49">
      <c r="A17" s="1" t="s">
        <v>45</v>
      </c>
      <c r="B17" s="11">
        <v>1.5</v>
      </c>
      <c r="C17" s="2">
        <f t="shared" si="3"/>
        <v>1.5</v>
      </c>
      <c r="D17" s="2">
        <f t="shared" si="3"/>
        <v>1.5</v>
      </c>
      <c r="AR17"/>
      <c r="AS17"/>
      <c r="AT17"/>
      <c r="AU17"/>
      <c r="AV17"/>
      <c r="AW17"/>
    </row>
    <row r="18" spans="1:49">
      <c r="A18" s="1" t="s">
        <v>53</v>
      </c>
      <c r="B18" s="11">
        <v>25</v>
      </c>
      <c r="C18" s="2">
        <f t="shared" si="3"/>
        <v>25</v>
      </c>
      <c r="D18" s="2">
        <f t="shared" si="3"/>
        <v>25</v>
      </c>
      <c r="AR18"/>
      <c r="AS18"/>
      <c r="AT18"/>
      <c r="AU18"/>
      <c r="AV18"/>
      <c r="AW18"/>
    </row>
    <row r="19" spans="1:49">
      <c r="A19" s="1" t="s">
        <v>52</v>
      </c>
      <c r="B19" s="11">
        <v>500</v>
      </c>
      <c r="C19" s="2">
        <f>B19</f>
        <v>500</v>
      </c>
      <c r="D19" s="2">
        <f t="shared" si="3"/>
        <v>500</v>
      </c>
      <c r="AR19"/>
      <c r="AS19"/>
      <c r="AT19"/>
      <c r="AU19"/>
      <c r="AV19"/>
      <c r="AW19"/>
    </row>
    <row r="20" spans="1:49">
      <c r="A20" s="4" t="s">
        <v>8</v>
      </c>
      <c r="B20" s="4">
        <f>B21*B23/10^6</f>
        <v>38.724115288440466</v>
      </c>
      <c r="C20" s="4">
        <f t="shared" ref="C20:D20" si="4">C21*C23/10^6</f>
        <v>38.724115288440466</v>
      </c>
      <c r="D20" s="4">
        <f t="shared" si="4"/>
        <v>38.724115288440466</v>
      </c>
      <c r="AR20"/>
      <c r="AS20"/>
      <c r="AT20"/>
      <c r="AU20"/>
      <c r="AV20"/>
      <c r="AW20"/>
    </row>
    <row r="21" spans="1:49">
      <c r="A21" s="4" t="s">
        <v>9</v>
      </c>
      <c r="B21" s="4">
        <f>MAX(((1.6-(B6*10/1000))*B22),B22)</f>
        <v>3.4370516528201596</v>
      </c>
      <c r="C21" s="4">
        <f t="shared" ref="C21:D21" si="5">MAX(((1.6-(C6*10/1000))*C22),C22)</f>
        <v>3.4370516528201596</v>
      </c>
      <c r="D21" s="4">
        <f t="shared" si="5"/>
        <v>3.4370516528201596</v>
      </c>
      <c r="AR21"/>
      <c r="AS21"/>
      <c r="AT21"/>
      <c r="AU21"/>
      <c r="AV21"/>
      <c r="AW21"/>
    </row>
    <row r="22" spans="1:49">
      <c r="A22" s="4" t="s">
        <v>10</v>
      </c>
      <c r="B22" s="4">
        <f>0.3*B18^(2/3)</f>
        <v>2.5649639200150443</v>
      </c>
      <c r="C22" s="4">
        <f t="shared" ref="C22:D22" si="6">0.3*C18^(2/3)</f>
        <v>2.5649639200150443</v>
      </c>
      <c r="D22" s="4">
        <f t="shared" si="6"/>
        <v>2.5649639200150443</v>
      </c>
      <c r="AR22"/>
      <c r="AS22"/>
      <c r="AT22"/>
      <c r="AU22"/>
      <c r="AV22"/>
      <c r="AW22"/>
    </row>
    <row r="23" spans="1:49" ht="32.25" customHeight="1">
      <c r="A23" s="5" t="s">
        <v>29</v>
      </c>
      <c r="B23" s="4">
        <f>B7*10*(B6*10)^2/6</f>
        <v>11266666.666666666</v>
      </c>
      <c r="C23" s="4">
        <f t="shared" ref="C23:D23" si="7">C7*10*(C6*10)^2/6</f>
        <v>11266666.666666666</v>
      </c>
      <c r="D23" s="4">
        <f t="shared" si="7"/>
        <v>11266666.666666666</v>
      </c>
      <c r="AR23"/>
      <c r="AS23"/>
      <c r="AT23"/>
      <c r="AU23"/>
      <c r="AV23"/>
      <c r="AW23"/>
    </row>
    <row r="24" spans="1:49" ht="14.25" customHeight="1">
      <c r="A24" s="4" t="s">
        <v>57</v>
      </c>
      <c r="B24" s="22">
        <f>200000</f>
        <v>200000</v>
      </c>
      <c r="C24" s="22">
        <f t="shared" ref="C24:D24" si="8">200000</f>
        <v>200000</v>
      </c>
      <c r="D24" s="22">
        <f t="shared" si="8"/>
        <v>200000</v>
      </c>
      <c r="AR24"/>
      <c r="AS24"/>
      <c r="AT24"/>
      <c r="AU24"/>
      <c r="AV24"/>
      <c r="AW24"/>
    </row>
    <row r="25" spans="1:49">
      <c r="A25" s="4" t="s">
        <v>58</v>
      </c>
      <c r="B25" s="4">
        <f>8500*(33^(1/3))</f>
        <v>27264.041804964527</v>
      </c>
      <c r="C25" s="4">
        <f t="shared" ref="C25:D25" si="9">8500*(33^(1/3))</f>
        <v>27264.041804964527</v>
      </c>
      <c r="D25" s="4">
        <f t="shared" si="9"/>
        <v>27264.041804964527</v>
      </c>
      <c r="AR25"/>
      <c r="AS25"/>
      <c r="AT25"/>
      <c r="AU25"/>
      <c r="AV25"/>
      <c r="AW25"/>
    </row>
    <row r="26" spans="1:49">
      <c r="A26" s="4" t="s">
        <v>56</v>
      </c>
      <c r="B26" s="4">
        <f>B24/B25</f>
        <v>7.3356695031028698</v>
      </c>
      <c r="C26" s="4">
        <f t="shared" ref="C26:D26" si="10">C24/C25</f>
        <v>7.3356695031028698</v>
      </c>
      <c r="D26" s="4">
        <f t="shared" si="10"/>
        <v>7.3356695031028698</v>
      </c>
      <c r="AR26"/>
      <c r="AS26"/>
      <c r="AT26"/>
      <c r="AU26"/>
      <c r="AV26"/>
      <c r="AW26"/>
    </row>
    <row r="27" spans="1:49" ht="15" thickBot="1">
      <c r="A27" s="29" t="s">
        <v>21</v>
      </c>
      <c r="B27" s="30"/>
      <c r="C27" s="30"/>
      <c r="D27" s="30"/>
      <c r="AR27"/>
      <c r="AS27"/>
      <c r="AT27"/>
      <c r="AU27"/>
      <c r="AV27"/>
      <c r="AW27"/>
    </row>
    <row r="28" spans="1:49" ht="15" thickTop="1">
      <c r="A28" s="2" t="s">
        <v>7</v>
      </c>
      <c r="B28" s="11">
        <v>16</v>
      </c>
      <c r="C28" s="11">
        <v>12</v>
      </c>
      <c r="D28" s="11">
        <v>10</v>
      </c>
      <c r="AR28"/>
      <c r="AS28"/>
      <c r="AT28"/>
      <c r="AU28"/>
      <c r="AV28"/>
      <c r="AW28"/>
    </row>
    <row r="29" spans="1:49">
      <c r="A29" s="2" t="s">
        <v>11</v>
      </c>
      <c r="B29" s="11">
        <v>20</v>
      </c>
      <c r="C29" s="11">
        <v>20</v>
      </c>
      <c r="D29" s="11">
        <v>20</v>
      </c>
      <c r="AR29"/>
      <c r="AS29"/>
      <c r="AT29"/>
      <c r="AU29"/>
      <c r="AV29"/>
      <c r="AW29"/>
    </row>
    <row r="30" spans="1:49">
      <c r="A30" s="4" t="s">
        <v>48</v>
      </c>
      <c r="B30" s="4">
        <f>(PI()*(B28/20)^2)*100/B29</f>
        <v>10.05309649148734</v>
      </c>
      <c r="C30" s="4">
        <f t="shared" ref="C30:D30" si="11">(PI()*(C28/20)^2)*100/C29</f>
        <v>5.6548667764616276</v>
      </c>
      <c r="D30" s="4">
        <f t="shared" si="11"/>
        <v>3.9269908169872414</v>
      </c>
      <c r="AR30"/>
      <c r="AS30"/>
      <c r="AT30"/>
      <c r="AU30"/>
      <c r="AV30"/>
      <c r="AW30"/>
    </row>
    <row r="31" spans="1:49">
      <c r="A31" s="4" t="s">
        <v>54</v>
      </c>
      <c r="B31" s="4">
        <f>1000*B30/(B6*100)</f>
        <v>3.8665755736489769</v>
      </c>
      <c r="C31" s="4">
        <f>1000*C30/(C6*100)</f>
        <v>2.174948760177549</v>
      </c>
      <c r="D31" s="4">
        <f>1000*D30/(D6*100)</f>
        <v>1.5103810834566314</v>
      </c>
      <c r="AR31"/>
      <c r="AS31"/>
      <c r="AT31"/>
      <c r="AU31"/>
      <c r="AV31"/>
      <c r="AW31"/>
    </row>
    <row r="32" spans="1:49">
      <c r="A32" s="4" t="s">
        <v>59</v>
      </c>
      <c r="B32" s="4">
        <f>B30/(B7*(B6-B8))</f>
        <v>4.4680428851054848E-3</v>
      </c>
      <c r="C32" s="4">
        <f>C30/(C7*(C6-C8))</f>
        <v>2.5132741228718345E-3</v>
      </c>
      <c r="D32" s="4">
        <f>D30/(D7*(D6-D8))</f>
        <v>1.7453292519943296E-3</v>
      </c>
      <c r="AR32"/>
      <c r="AS32"/>
      <c r="AT32"/>
      <c r="AU32"/>
      <c r="AV32"/>
      <c r="AW32"/>
    </row>
    <row r="33" spans="1:49" ht="15" thickBot="1">
      <c r="A33" s="29" t="s">
        <v>47</v>
      </c>
      <c r="B33" s="29"/>
      <c r="C33" s="29"/>
      <c r="D33" s="29"/>
      <c r="AR33"/>
      <c r="AS33"/>
      <c r="AT33"/>
      <c r="AU33"/>
      <c r="AV33"/>
      <c r="AW33"/>
    </row>
    <row r="34" spans="1:49" ht="15" thickTop="1">
      <c r="A34" s="2" t="s">
        <v>7</v>
      </c>
      <c r="B34" s="11">
        <v>10</v>
      </c>
      <c r="C34" s="11">
        <v>10</v>
      </c>
      <c r="D34" s="11">
        <v>10</v>
      </c>
      <c r="AR34"/>
      <c r="AS34"/>
      <c r="AT34"/>
      <c r="AU34"/>
      <c r="AV34"/>
      <c r="AW34"/>
    </row>
    <row r="35" spans="1:49">
      <c r="A35" s="2" t="s">
        <v>11</v>
      </c>
      <c r="B35" s="11">
        <v>20</v>
      </c>
      <c r="C35" s="11">
        <v>20</v>
      </c>
      <c r="D35" s="11">
        <v>20</v>
      </c>
      <c r="AR35"/>
      <c r="AS35"/>
      <c r="AT35"/>
      <c r="AU35"/>
      <c r="AV35"/>
      <c r="AW35"/>
    </row>
    <row r="36" spans="1:49">
      <c r="A36" s="4" t="s">
        <v>49</v>
      </c>
      <c r="B36" s="4">
        <f>(PI()*(B34/20)^2)*100/B35</f>
        <v>3.9269908169872414</v>
      </c>
      <c r="C36" s="4">
        <f t="shared" ref="C36:D36" si="12">(PI()*(C34/20)^2)*100/C35</f>
        <v>3.9269908169872414</v>
      </c>
      <c r="D36" s="4">
        <f t="shared" si="12"/>
        <v>3.9269908169872414</v>
      </c>
      <c r="AR36"/>
      <c r="AS36"/>
      <c r="AT36"/>
      <c r="AU36"/>
      <c r="AV36"/>
      <c r="AW36"/>
    </row>
    <row r="37" spans="1:49">
      <c r="A37" s="4" t="s">
        <v>50</v>
      </c>
      <c r="B37" s="4">
        <f>1000*B36/(B6*100)</f>
        <v>1.5103810834566314</v>
      </c>
      <c r="C37" s="4">
        <f>1000*C36/(C6*100)</f>
        <v>1.5103810834566314</v>
      </c>
      <c r="D37" s="4">
        <f>1000*D36/(D6*100)</f>
        <v>1.5103810834566314</v>
      </c>
      <c r="AR37"/>
      <c r="AS37"/>
      <c r="AT37"/>
      <c r="AU37"/>
      <c r="AV37"/>
      <c r="AW37"/>
    </row>
    <row r="38" spans="1:49">
      <c r="A38" s="4" t="s">
        <v>60</v>
      </c>
      <c r="B38" s="4">
        <f>B36/(B7*(B6-B8))</f>
        <v>1.7453292519943296E-3</v>
      </c>
      <c r="C38" s="4">
        <f>C36/(C7*(C6-C8))</f>
        <v>1.7453292519943296E-3</v>
      </c>
      <c r="D38" s="4">
        <f>D36/(D7*(D6-D8))</f>
        <v>1.7453292519943296E-3</v>
      </c>
      <c r="AR38"/>
      <c r="AS38"/>
      <c r="AT38"/>
      <c r="AU38"/>
      <c r="AV38"/>
      <c r="AW38"/>
    </row>
    <row r="39" spans="1:49">
      <c r="A39" s="4"/>
      <c r="B39" s="4"/>
      <c r="C39" s="4"/>
      <c r="D39" s="4"/>
      <c r="AR39"/>
      <c r="AS39"/>
      <c r="AT39"/>
      <c r="AU39"/>
      <c r="AV39"/>
      <c r="AW39"/>
    </row>
    <row r="40" spans="1:49">
      <c r="A40" s="2" t="s">
        <v>64</v>
      </c>
      <c r="B40" s="12">
        <v>67.400000000000006</v>
      </c>
      <c r="C40" s="12">
        <v>31.3</v>
      </c>
      <c r="D40" s="12">
        <v>22.48</v>
      </c>
      <c r="AR40"/>
      <c r="AS40"/>
      <c r="AT40"/>
      <c r="AU40"/>
      <c r="AV40"/>
      <c r="AW40"/>
    </row>
    <row r="41" spans="1:49">
      <c r="A41" s="4" t="s">
        <v>61</v>
      </c>
      <c r="B41" s="4">
        <f>((B20/MAX(B40,B20))^3)*B11+(1-(B20/MAX(B40,B20))^3)*B45</f>
        <v>49508.571380428737</v>
      </c>
      <c r="C41" s="4">
        <f>((C20/MAX(C40,C20))^3)*C11+(1-(C20/MAX(C40,C20))^3)*C45</f>
        <v>146466.66666666666</v>
      </c>
      <c r="D41" s="4">
        <f>((D20/MAX(D40,D20))^3)*D11+(1-(D20/MAX(D40,D20))^3)*D45</f>
        <v>146466.66666666666</v>
      </c>
      <c r="AR41"/>
      <c r="AS41"/>
      <c r="AT41"/>
      <c r="AU41"/>
      <c r="AV41"/>
      <c r="AW41"/>
    </row>
    <row r="42" spans="1:49">
      <c r="A42" s="4" t="s">
        <v>71</v>
      </c>
      <c r="B42" s="4">
        <f>B26*B32*(1+(B38/B32))*(-1+(1+(2*(1+(B38*B8)/(B32*B44)))/(B26*B32*((1+B38/B32)^2)))^(1/2))</f>
        <v>0.22202651829174633</v>
      </c>
      <c r="C42" s="4">
        <f>C26*C32*(1+(C38/C32))*(-1+(1+(2*(1+(C38*C8)/(C32*C44)))/(C26*C32*((1+C38/C32)^2)))^(1/2))</f>
        <v>0.17328955957750272</v>
      </c>
      <c r="D42" s="4">
        <f>D26*D32*(1+(D38/D32))*(-1+(1+(2*(1+(D38*D8)/(D32*D44)))/(D26*D32*((1+D38/D32)^2)))^(1/2))</f>
        <v>0.14830517040552707</v>
      </c>
      <c r="AR42"/>
      <c r="AS42"/>
      <c r="AT42"/>
      <c r="AU42"/>
      <c r="AV42"/>
      <c r="AW42"/>
    </row>
    <row r="43" spans="1:49">
      <c r="A43" s="4" t="s">
        <v>70</v>
      </c>
      <c r="B43" s="4">
        <f>B42*B44</f>
        <v>4.9955966615642922</v>
      </c>
      <c r="C43" s="4">
        <f t="shared" ref="C43:D43" si="13">C42*C44</f>
        <v>3.8990150904938115</v>
      </c>
      <c r="D43" s="4">
        <f t="shared" si="13"/>
        <v>3.336866334124359</v>
      </c>
      <c r="AR43"/>
      <c r="AS43"/>
      <c r="AT43"/>
      <c r="AU43"/>
      <c r="AV43"/>
      <c r="AW43"/>
    </row>
    <row r="44" spans="1:49">
      <c r="A44" s="4" t="s">
        <v>55</v>
      </c>
      <c r="B44" s="4">
        <f>B6-B8</f>
        <v>22.5</v>
      </c>
      <c r="C44" s="4">
        <f t="shared" ref="C44:D44" si="14">C6-C8</f>
        <v>22.5</v>
      </c>
      <c r="D44" s="4">
        <f t="shared" si="14"/>
        <v>22.5</v>
      </c>
      <c r="AR44"/>
      <c r="AS44"/>
      <c r="AT44"/>
      <c r="AU44"/>
      <c r="AV44"/>
      <c r="AW44"/>
    </row>
    <row r="45" spans="1:49">
      <c r="A45" s="2" t="s">
        <v>62</v>
      </c>
      <c r="B45" s="4">
        <f>B26*B30*(B44-B43)*(B44-B43/3)+B26*B36*(B43-B8)*((B43/3)-B8)</f>
        <v>26816.242691170493</v>
      </c>
      <c r="C45" s="4">
        <f>C26*C30*(C44-C43)*(C44-C43/3)+C26*C36*(C43-C8)*((C43/3)-C8)</f>
        <v>16333.102280940215</v>
      </c>
      <c r="D45" s="4">
        <f>D26*D30*(D44-D43)*(D44-D43/3)+D26*D36*(D43-D8)*((D43/3)-D8)</f>
        <v>11817.973968672011</v>
      </c>
      <c r="AR45"/>
      <c r="AS45"/>
      <c r="AT45"/>
      <c r="AU45"/>
      <c r="AV45"/>
      <c r="AW45"/>
    </row>
    <row r="46" spans="1:49">
      <c r="B46" s="4"/>
      <c r="C46" s="4"/>
      <c r="D46" s="4"/>
      <c r="AR46"/>
      <c r="AS46"/>
      <c r="AT46"/>
      <c r="AU46"/>
      <c r="AV46"/>
      <c r="AW46"/>
    </row>
    <row r="47" spans="1:49">
      <c r="A47" s="4" t="s">
        <v>67</v>
      </c>
      <c r="B47" s="38">
        <f>(((B41+D41)/2)+C41)/2</f>
        <v>122227.14284510718</v>
      </c>
      <c r="C47" s="38"/>
      <c r="D47" s="38"/>
      <c r="AR47"/>
      <c r="AS47"/>
      <c r="AT47"/>
      <c r="AU47"/>
      <c r="AV47"/>
      <c r="AW47"/>
    </row>
    <row r="48" spans="1:49" ht="43.2">
      <c r="A48" s="4" t="s">
        <v>17</v>
      </c>
      <c r="B48" s="4">
        <f>B11/B47</f>
        <v>1.1983153926151828</v>
      </c>
      <c r="C48" s="5" t="s">
        <v>41</v>
      </c>
      <c r="D48" s="12">
        <v>1.5</v>
      </c>
      <c r="AR48"/>
      <c r="AS48"/>
      <c r="AT48"/>
      <c r="AU48"/>
      <c r="AV48"/>
      <c r="AW48"/>
    </row>
    <row r="49" spans="1:49">
      <c r="A49" s="4"/>
      <c r="B49" s="4"/>
      <c r="C49" s="5"/>
      <c r="AR49"/>
      <c r="AS49"/>
      <c r="AT49"/>
      <c r="AU49"/>
      <c r="AV49"/>
      <c r="AW49"/>
    </row>
    <row r="50" spans="1:49">
      <c r="A50" s="2" t="s">
        <v>19</v>
      </c>
      <c r="B50" s="12">
        <v>1</v>
      </c>
      <c r="C50" s="4"/>
      <c r="AR50"/>
      <c r="AS50"/>
      <c r="AT50"/>
      <c r="AU50"/>
      <c r="AV50"/>
      <c r="AW50"/>
    </row>
    <row r="51" spans="1:49">
      <c r="B51" s="4">
        <f>MIN(B37,C37,D37)</f>
        <v>1.5103810834566314</v>
      </c>
    </row>
    <row r="52" spans="1:49" ht="15" thickBot="1">
      <c r="B52" s="4"/>
    </row>
    <row r="53" spans="1:49" ht="15" thickBot="1">
      <c r="A53" s="34" t="s">
        <v>12</v>
      </c>
      <c r="B53" s="35" t="s">
        <v>69</v>
      </c>
      <c r="C53" s="34" t="s">
        <v>18</v>
      </c>
      <c r="D53" s="34" t="s">
        <v>20</v>
      </c>
      <c r="AR53"/>
      <c r="AS53"/>
      <c r="AT53"/>
      <c r="AU53"/>
      <c r="AV53"/>
      <c r="AW53"/>
    </row>
    <row r="54" spans="1:49" ht="15" thickBot="1">
      <c r="A54" s="34" t="s">
        <v>68</v>
      </c>
      <c r="B54" s="33">
        <v>2</v>
      </c>
      <c r="C54" s="33">
        <f>B54*(1+(50*B50/1000))</f>
        <v>2.1</v>
      </c>
      <c r="D54" s="33">
        <f>B54/C54</f>
        <v>0.95238095238095233</v>
      </c>
      <c r="AR54"/>
      <c r="AS54"/>
      <c r="AT54"/>
      <c r="AU54"/>
      <c r="AV54"/>
      <c r="AW54"/>
    </row>
    <row r="55" spans="1:49" ht="15" thickBot="1">
      <c r="A55" s="34" t="s">
        <v>13</v>
      </c>
      <c r="B55" s="33">
        <v>1.4</v>
      </c>
      <c r="C55" s="33">
        <f>B55*(1+(50*B50/1000))</f>
        <v>1.47</v>
      </c>
      <c r="D55" s="33">
        <f t="shared" ref="D55:D60" si="15">B55/C55</f>
        <v>0.95238095238095233</v>
      </c>
      <c r="AR55"/>
      <c r="AS55"/>
      <c r="AT55"/>
      <c r="AU55"/>
      <c r="AV55"/>
      <c r="AW55"/>
    </row>
    <row r="56" spans="1:49" ht="15" thickBot="1">
      <c r="A56" s="34" t="s">
        <v>14</v>
      </c>
      <c r="B56" s="33">
        <v>1.2</v>
      </c>
      <c r="C56" s="33">
        <f>B56*(1+(50*B50/1000))</f>
        <v>1.26</v>
      </c>
      <c r="D56" s="33">
        <f t="shared" si="15"/>
        <v>0.95238095238095233</v>
      </c>
      <c r="AR56"/>
      <c r="AS56"/>
      <c r="AT56"/>
      <c r="AU56"/>
      <c r="AV56"/>
      <c r="AW56"/>
    </row>
    <row r="57" spans="1:49" ht="15" thickBot="1">
      <c r="A57" s="34" t="s">
        <v>32</v>
      </c>
      <c r="B57" s="33">
        <v>1</v>
      </c>
      <c r="C57" s="33">
        <f>B57*(1+(50*B50/1000))</f>
        <v>1.05</v>
      </c>
      <c r="D57" s="33">
        <f t="shared" si="15"/>
        <v>0.95238095238095233</v>
      </c>
      <c r="AR57"/>
      <c r="AS57"/>
      <c r="AT57"/>
      <c r="AU57"/>
      <c r="AV57"/>
      <c r="AW57"/>
    </row>
    <row r="58" spans="1:49" ht="15" thickBot="1">
      <c r="A58" s="34" t="s">
        <v>31</v>
      </c>
      <c r="B58" s="33">
        <v>0.8</v>
      </c>
      <c r="C58" s="33">
        <f>B58*(1+(50*B50/1000))</f>
        <v>0.84000000000000008</v>
      </c>
      <c r="D58" s="33">
        <f t="shared" si="15"/>
        <v>0.95238095238095233</v>
      </c>
      <c r="AR58"/>
      <c r="AS58"/>
      <c r="AT58"/>
      <c r="AU58"/>
      <c r="AV58"/>
      <c r="AW58"/>
    </row>
    <row r="59" spans="1:49" ht="15" thickBot="1">
      <c r="A59" s="34" t="s">
        <v>15</v>
      </c>
      <c r="B59" s="33">
        <v>0.7</v>
      </c>
      <c r="C59" s="33">
        <f>B59*(1+(50*B50/1000))</f>
        <v>0.73499999999999999</v>
      </c>
      <c r="D59" s="33">
        <f t="shared" si="15"/>
        <v>0.95238095238095233</v>
      </c>
      <c r="AR59"/>
      <c r="AS59"/>
      <c r="AT59"/>
      <c r="AU59"/>
      <c r="AV59"/>
      <c r="AW59"/>
    </row>
    <row r="60" spans="1:49" ht="15" thickBot="1">
      <c r="A60" s="34" t="s">
        <v>16</v>
      </c>
      <c r="B60" s="33">
        <v>0.5</v>
      </c>
      <c r="C60" s="33">
        <f>B60*(1+(50*B50/1000))</f>
        <v>0.52500000000000002</v>
      </c>
      <c r="D60" s="33">
        <f t="shared" si="15"/>
        <v>0.95238095238095233</v>
      </c>
      <c r="AR60"/>
      <c r="AS60"/>
      <c r="AT60"/>
      <c r="AU60"/>
      <c r="AV60"/>
      <c r="AW60"/>
    </row>
    <row r="61" spans="1:49" ht="15" thickBot="1">
      <c r="AR61"/>
      <c r="AS61"/>
      <c r="AT61"/>
      <c r="AU61"/>
      <c r="AV61"/>
      <c r="AW61"/>
    </row>
    <row r="62" spans="1:49" ht="15" thickBot="1">
      <c r="A62" s="25" t="s">
        <v>22</v>
      </c>
      <c r="B62" s="6" t="s">
        <v>23</v>
      </c>
      <c r="C62" s="6" t="s">
        <v>12</v>
      </c>
      <c r="D62" s="27" t="s">
        <v>46</v>
      </c>
      <c r="E62" s="36"/>
      <c r="AR62"/>
      <c r="AS62"/>
      <c r="AT62"/>
      <c r="AU62"/>
      <c r="AV62"/>
      <c r="AW62"/>
    </row>
    <row r="63" spans="1:49" ht="15" thickBot="1">
      <c r="A63" s="26"/>
      <c r="B63" s="7" t="s">
        <v>24</v>
      </c>
      <c r="C63" s="7" t="s">
        <v>25</v>
      </c>
      <c r="D63" s="28"/>
      <c r="E63" s="36"/>
      <c r="AR63"/>
      <c r="AS63"/>
      <c r="AT63"/>
      <c r="AU63"/>
      <c r="AV63"/>
      <c r="AW63"/>
    </row>
    <row r="64" spans="1:49" ht="15" thickBot="1">
      <c r="A64" s="26" t="s">
        <v>26</v>
      </c>
      <c r="B64" s="8">
        <f>B12</f>
        <v>6.5</v>
      </c>
      <c r="C64" s="8">
        <v>28</v>
      </c>
      <c r="D64" s="9">
        <f>B54-B59</f>
        <v>1.3</v>
      </c>
      <c r="E64" s="36"/>
      <c r="AR64"/>
      <c r="AS64"/>
      <c r="AT64"/>
      <c r="AU64"/>
      <c r="AV64"/>
      <c r="AW64"/>
    </row>
    <row r="65" spans="1:49" ht="15" thickBot="1">
      <c r="A65" s="26" t="s">
        <v>27</v>
      </c>
      <c r="B65" s="8">
        <f>B13</f>
        <v>1</v>
      </c>
      <c r="C65" s="8">
        <v>60</v>
      </c>
      <c r="D65" s="9">
        <f>B54-B58</f>
        <v>1.2</v>
      </c>
      <c r="E65" s="36"/>
      <c r="AR65"/>
      <c r="AS65"/>
      <c r="AT65"/>
      <c r="AU65"/>
      <c r="AV65"/>
      <c r="AW65"/>
    </row>
    <row r="66" spans="1:49" ht="15" thickBot="1">
      <c r="A66" s="26" t="s">
        <v>5</v>
      </c>
      <c r="B66" s="8">
        <f>B14</f>
        <v>1</v>
      </c>
      <c r="C66" s="8">
        <v>120</v>
      </c>
      <c r="D66" s="9">
        <f>B54-B57</f>
        <v>1</v>
      </c>
      <c r="E66" s="37"/>
      <c r="AR66"/>
      <c r="AS66"/>
      <c r="AT66"/>
      <c r="AU66"/>
      <c r="AV66"/>
      <c r="AW66"/>
    </row>
    <row r="67" spans="1:49" ht="15" thickBot="1">
      <c r="A67" s="26" t="s">
        <v>28</v>
      </c>
      <c r="B67" s="8">
        <f>B15</f>
        <v>2</v>
      </c>
      <c r="C67" s="8">
        <v>365</v>
      </c>
      <c r="D67" s="9">
        <f>B54-B55</f>
        <v>0.60000000000000009</v>
      </c>
      <c r="E67" s="37"/>
      <c r="AR67"/>
      <c r="AS67"/>
      <c r="AT67"/>
      <c r="AU67"/>
      <c r="AV67"/>
      <c r="AW67"/>
    </row>
    <row r="68" spans="1:49">
      <c r="B68" s="16"/>
      <c r="C68" s="17"/>
      <c r="D68" s="17"/>
      <c r="E68" s="18"/>
      <c r="F68" s="19"/>
      <c r="AR68"/>
      <c r="AS68"/>
      <c r="AT68"/>
      <c r="AU68"/>
      <c r="AV68"/>
      <c r="AW68"/>
    </row>
    <row r="69" spans="1:49">
      <c r="A69" s="4" t="s">
        <v>30</v>
      </c>
      <c r="B69" s="13">
        <v>0.3</v>
      </c>
      <c r="AR69"/>
      <c r="AS69"/>
      <c r="AT69"/>
      <c r="AU69"/>
      <c r="AV69"/>
      <c r="AW69"/>
    </row>
    <row r="70" spans="1:49">
      <c r="A70" s="4" t="s">
        <v>34</v>
      </c>
      <c r="B70" s="4">
        <f>(D64*B12+D65*B13+D66*B14+D67*(B69*B15))/(B12+B13+B14+B15)</f>
        <v>1.0485714285714285</v>
      </c>
      <c r="AR70"/>
      <c r="AS70"/>
      <c r="AT70"/>
      <c r="AU70"/>
      <c r="AV70"/>
      <c r="AW70"/>
    </row>
    <row r="71" spans="1:49">
      <c r="A71" s="4" t="s">
        <v>35</v>
      </c>
      <c r="B71" s="4">
        <f>(D65*B12+D65*B13+D66*B14+D67*B69*B15)/(B12+B13+B14+B15)</f>
        <v>0.98666666666666658</v>
      </c>
      <c r="AR71"/>
      <c r="AS71"/>
      <c r="AT71"/>
      <c r="AU71"/>
      <c r="AV71"/>
      <c r="AW71"/>
    </row>
    <row r="72" spans="1:49" ht="28.8">
      <c r="A72" s="5" t="s">
        <v>36</v>
      </c>
      <c r="B72" s="4">
        <f>B70*D54</f>
        <v>0.99863945578231283</v>
      </c>
      <c r="AR72"/>
      <c r="AS72"/>
      <c r="AT72"/>
      <c r="AU72"/>
      <c r="AV72"/>
      <c r="AW72"/>
    </row>
    <row r="73" spans="1:49" ht="28.8">
      <c r="A73" s="5" t="s">
        <v>37</v>
      </c>
      <c r="B73" s="4">
        <f>B71*D54</f>
        <v>0.93968253968253956</v>
      </c>
      <c r="AR73"/>
      <c r="AS73"/>
      <c r="AT73"/>
      <c r="AU73"/>
      <c r="AV73"/>
      <c r="AW73"/>
    </row>
    <row r="74" spans="1:49" ht="28.8">
      <c r="A74" s="10" t="s">
        <v>38</v>
      </c>
      <c r="B74" s="4">
        <f>MAX(B11/B47,D48)</f>
        <v>1.5</v>
      </c>
      <c r="AR74"/>
      <c r="AS74"/>
      <c r="AT74"/>
      <c r="AU74"/>
      <c r="AV74"/>
      <c r="AW74"/>
    </row>
    <row r="75" spans="1:49" s="2" customFormat="1" ht="28.8">
      <c r="A75" s="10" t="s">
        <v>39</v>
      </c>
      <c r="B75" s="4">
        <f>B74*(B13+B14+B15)/(B12+B13+B14+B15)</f>
        <v>0.5714285714285714</v>
      </c>
    </row>
    <row r="76" spans="1:49" s="2" customFormat="1" ht="25.8">
      <c r="A76" s="14" t="s">
        <v>33</v>
      </c>
      <c r="B76" s="15">
        <f>B74*(1+B72)</f>
        <v>2.9979591836734691</v>
      </c>
    </row>
    <row r="77" spans="1:49" s="2" customFormat="1" ht="25.8">
      <c r="A77" s="14" t="s">
        <v>40</v>
      </c>
      <c r="B77" s="15">
        <f>B75+B73*B74</f>
        <v>1.9809523809523808</v>
      </c>
    </row>
  </sheetData>
  <mergeCells count="1">
    <mergeCell ref="B47:D47"/>
  </mergeCells>
  <pageMargins left="0.7" right="0.7" top="0.75" bottom="0.75" header="0.3" footer="0.3"/>
  <pageSetup paperSize="9" orientation="portrait" horizontalDpi="200" verticalDpi="200" r:id="rId1"/>
  <drawing r:id="rId2"/>
  <legacyDrawing r:id="rId3"/>
</worksheet>
</file>

<file path=xl/worksheets/sheet2.xml><?xml version="1.0" encoding="utf-8"?>
<worksheet xmlns="http://schemas.openxmlformats.org/spreadsheetml/2006/main" xmlns:r="http://schemas.openxmlformats.org/officeDocument/2006/relationships">
  <dimension ref="A1:AW75"/>
  <sheetViews>
    <sheetView tabSelected="1" workbookViewId="0">
      <selection activeCell="C36" sqref="C36"/>
    </sheetView>
  </sheetViews>
  <sheetFormatPr baseColWidth="10" defaultRowHeight="14.4"/>
  <cols>
    <col min="1" max="1" width="75.88671875" style="2" customWidth="1"/>
    <col min="2" max="2" width="12.109375" style="2" customWidth="1"/>
    <col min="3" max="3" width="12.44140625" style="2" customWidth="1"/>
    <col min="4" max="4" width="12.33203125" style="2" customWidth="1"/>
    <col min="5" max="49" width="11.44140625" style="2"/>
  </cols>
  <sheetData>
    <row r="1" spans="1:49" ht="42">
      <c r="A1" s="20" t="s">
        <v>72</v>
      </c>
      <c r="AR1"/>
      <c r="AS1"/>
      <c r="AT1"/>
      <c r="AU1"/>
      <c r="AV1"/>
      <c r="AW1"/>
    </row>
    <row r="2" spans="1:49" ht="31.2">
      <c r="A2" s="32" t="s">
        <v>65</v>
      </c>
      <c r="AR2"/>
      <c r="AS2"/>
      <c r="AT2"/>
      <c r="AU2"/>
      <c r="AV2"/>
      <c r="AW2"/>
    </row>
    <row r="3" spans="1:49" ht="15.6">
      <c r="A3" s="32"/>
      <c r="AR3"/>
      <c r="AS3"/>
      <c r="AT3"/>
      <c r="AU3"/>
      <c r="AV3"/>
      <c r="AW3"/>
    </row>
    <row r="4" spans="1:49" ht="57" customHeight="1">
      <c r="A4" s="32"/>
      <c r="B4" s="5" t="s">
        <v>73</v>
      </c>
      <c r="C4" s="5"/>
      <c r="D4" s="5"/>
      <c r="AR4"/>
      <c r="AS4"/>
      <c r="AT4"/>
      <c r="AU4"/>
      <c r="AV4"/>
      <c r="AW4"/>
    </row>
    <row r="5" spans="1:49" ht="15.6">
      <c r="A5" s="32"/>
      <c r="AR5"/>
      <c r="AS5"/>
      <c r="AT5"/>
      <c r="AU5"/>
      <c r="AV5"/>
      <c r="AW5"/>
    </row>
    <row r="6" spans="1:49">
      <c r="A6" s="1" t="s">
        <v>2</v>
      </c>
      <c r="B6" s="11">
        <v>26</v>
      </c>
      <c r="C6" s="23"/>
      <c r="D6" s="23"/>
      <c r="AR6"/>
      <c r="AS6"/>
      <c r="AT6"/>
      <c r="AU6"/>
      <c r="AV6"/>
      <c r="AW6"/>
    </row>
    <row r="7" spans="1:49">
      <c r="A7" s="1" t="s">
        <v>1</v>
      </c>
      <c r="B7" s="23">
        <v>100</v>
      </c>
      <c r="C7" s="23"/>
      <c r="D7" s="23"/>
      <c r="AR7"/>
      <c r="AS7"/>
      <c r="AT7"/>
      <c r="AU7"/>
      <c r="AV7"/>
      <c r="AW7"/>
    </row>
    <row r="8" spans="1:49" ht="28.8">
      <c r="A8" s="21" t="s">
        <v>51</v>
      </c>
      <c r="B8" s="11">
        <v>3.5</v>
      </c>
      <c r="C8" s="23"/>
      <c r="D8" s="23"/>
      <c r="AR8"/>
      <c r="AS8"/>
      <c r="AT8"/>
      <c r="AU8"/>
      <c r="AV8"/>
      <c r="AW8"/>
    </row>
    <row r="9" spans="1:49">
      <c r="A9" s="3" t="s">
        <v>3</v>
      </c>
      <c r="B9" s="3">
        <f>B7*(B6^3)/12</f>
        <v>146466.66666666666</v>
      </c>
      <c r="C9" s="3"/>
      <c r="D9" s="3"/>
      <c r="AR9"/>
      <c r="AS9"/>
      <c r="AT9"/>
      <c r="AU9"/>
      <c r="AV9"/>
      <c r="AW9"/>
    </row>
    <row r="10" spans="1:49">
      <c r="A10" s="3" t="s">
        <v>4</v>
      </c>
      <c r="B10" s="3">
        <f>B6*2.5/10</f>
        <v>6.5</v>
      </c>
      <c r="C10" s="3"/>
      <c r="D10" s="3"/>
      <c r="AR10"/>
      <c r="AS10"/>
      <c r="AT10"/>
      <c r="AU10"/>
      <c r="AV10"/>
      <c r="AW10"/>
    </row>
    <row r="11" spans="1:49">
      <c r="A11" s="1" t="s">
        <v>42</v>
      </c>
      <c r="B11" s="11">
        <v>1</v>
      </c>
      <c r="AR11"/>
      <c r="AS11"/>
      <c r="AT11"/>
      <c r="AU11"/>
      <c r="AV11"/>
      <c r="AW11"/>
    </row>
    <row r="12" spans="1:49">
      <c r="A12" s="1" t="s">
        <v>43</v>
      </c>
      <c r="B12" s="11">
        <v>1</v>
      </c>
      <c r="AR12"/>
      <c r="AS12"/>
      <c r="AT12"/>
      <c r="AU12"/>
      <c r="AV12"/>
      <c r="AW12"/>
    </row>
    <row r="13" spans="1:49">
      <c r="A13" s="1" t="s">
        <v>6</v>
      </c>
      <c r="B13" s="11">
        <v>2</v>
      </c>
      <c r="AR13"/>
      <c r="AS13"/>
      <c r="AT13"/>
      <c r="AU13"/>
      <c r="AV13"/>
      <c r="AW13"/>
    </row>
    <row r="14" spans="1:49">
      <c r="A14" s="1" t="s">
        <v>44</v>
      </c>
      <c r="B14" s="11">
        <v>1.35</v>
      </c>
      <c r="AR14"/>
      <c r="AS14"/>
      <c r="AT14"/>
      <c r="AU14"/>
      <c r="AV14"/>
      <c r="AW14"/>
    </row>
    <row r="15" spans="1:49">
      <c r="A15" s="1" t="s">
        <v>45</v>
      </c>
      <c r="B15" s="11">
        <v>1.5</v>
      </c>
      <c r="AR15"/>
      <c r="AS15"/>
      <c r="AT15"/>
      <c r="AU15"/>
      <c r="AV15"/>
      <c r="AW15"/>
    </row>
    <row r="16" spans="1:49">
      <c r="A16" s="1" t="s">
        <v>53</v>
      </c>
      <c r="B16" s="11">
        <v>25</v>
      </c>
      <c r="AR16"/>
      <c r="AS16"/>
      <c r="AT16"/>
      <c r="AU16"/>
      <c r="AV16"/>
      <c r="AW16"/>
    </row>
    <row r="17" spans="1:49">
      <c r="A17" s="1" t="s">
        <v>52</v>
      </c>
      <c r="B17" s="11">
        <v>500</v>
      </c>
      <c r="AR17"/>
      <c r="AS17"/>
      <c r="AT17"/>
      <c r="AU17"/>
      <c r="AV17"/>
      <c r="AW17"/>
    </row>
    <row r="18" spans="1:49">
      <c r="A18" s="4" t="s">
        <v>8</v>
      </c>
      <c r="B18" s="4">
        <f>B19*B21/10^6</f>
        <v>38.724115288440466</v>
      </c>
      <c r="C18" s="4"/>
      <c r="D18" s="4"/>
      <c r="AR18"/>
      <c r="AS18"/>
      <c r="AT18"/>
      <c r="AU18"/>
      <c r="AV18"/>
      <c r="AW18"/>
    </row>
    <row r="19" spans="1:49">
      <c r="A19" s="4" t="s">
        <v>9</v>
      </c>
      <c r="B19" s="4">
        <f>MAX(((1.6-(B6*10/1000))*B20),B20)</f>
        <v>3.4370516528201596</v>
      </c>
      <c r="C19" s="4"/>
      <c r="D19" s="4"/>
      <c r="AR19"/>
      <c r="AS19"/>
      <c r="AT19"/>
      <c r="AU19"/>
      <c r="AV19"/>
      <c r="AW19"/>
    </row>
    <row r="20" spans="1:49">
      <c r="A20" s="4" t="s">
        <v>10</v>
      </c>
      <c r="B20" s="4">
        <f>0.3*B16^(2/3)</f>
        <v>2.5649639200150443</v>
      </c>
      <c r="C20" s="4"/>
      <c r="D20" s="4"/>
      <c r="AR20"/>
      <c r="AS20"/>
      <c r="AT20"/>
      <c r="AU20"/>
      <c r="AV20"/>
      <c r="AW20"/>
    </row>
    <row r="21" spans="1:49" ht="32.25" customHeight="1">
      <c r="A21" s="5" t="s">
        <v>29</v>
      </c>
      <c r="B21" s="4">
        <f>B7*10*(B6*10)^2/6</f>
        <v>11266666.666666666</v>
      </c>
      <c r="C21" s="4"/>
      <c r="D21" s="4"/>
      <c r="AR21"/>
      <c r="AS21"/>
      <c r="AT21"/>
      <c r="AU21"/>
      <c r="AV21"/>
      <c r="AW21"/>
    </row>
    <row r="22" spans="1:49" ht="14.25" customHeight="1">
      <c r="A22" s="4" t="s">
        <v>57</v>
      </c>
      <c r="B22" s="22">
        <f>200000</f>
        <v>200000</v>
      </c>
      <c r="C22" s="22"/>
      <c r="D22" s="22"/>
      <c r="AR22"/>
      <c r="AS22"/>
      <c r="AT22"/>
      <c r="AU22"/>
      <c r="AV22"/>
      <c r="AW22"/>
    </row>
    <row r="23" spans="1:49">
      <c r="A23" s="4" t="s">
        <v>58</v>
      </c>
      <c r="B23" s="4">
        <f>8500*(33^(1/3))</f>
        <v>27264.041804964527</v>
      </c>
      <c r="C23" s="4"/>
      <c r="D23" s="4"/>
      <c r="AR23"/>
      <c r="AS23"/>
      <c r="AT23"/>
      <c r="AU23"/>
      <c r="AV23"/>
      <c r="AW23"/>
    </row>
    <row r="24" spans="1:49">
      <c r="A24" s="4" t="s">
        <v>56</v>
      </c>
      <c r="B24" s="4">
        <f>B22/B23</f>
        <v>7.3356695031028698</v>
      </c>
      <c r="C24" s="4"/>
      <c r="D24" s="4"/>
      <c r="AR24"/>
      <c r="AS24"/>
      <c r="AT24"/>
      <c r="AU24"/>
      <c r="AV24"/>
      <c r="AW24"/>
    </row>
    <row r="25" spans="1:49" ht="15" thickBot="1">
      <c r="A25" s="29" t="s">
        <v>21</v>
      </c>
      <c r="B25" s="30"/>
      <c r="C25" s="1"/>
      <c r="D25" s="1"/>
      <c r="AR25"/>
      <c r="AS25"/>
      <c r="AT25"/>
      <c r="AU25"/>
      <c r="AV25"/>
      <c r="AW25"/>
    </row>
    <row r="26" spans="1:49" ht="15" thickTop="1">
      <c r="A26" s="2" t="s">
        <v>7</v>
      </c>
      <c r="B26" s="11">
        <v>16</v>
      </c>
      <c r="C26" s="1"/>
      <c r="D26" s="1"/>
      <c r="AR26"/>
      <c r="AS26"/>
      <c r="AT26"/>
      <c r="AU26"/>
      <c r="AV26"/>
      <c r="AW26"/>
    </row>
    <row r="27" spans="1:49">
      <c r="A27" s="2" t="s">
        <v>11</v>
      </c>
      <c r="B27" s="11">
        <v>20</v>
      </c>
      <c r="C27" s="1"/>
      <c r="D27" s="1"/>
      <c r="AR27"/>
      <c r="AS27"/>
      <c r="AT27"/>
      <c r="AU27"/>
      <c r="AV27"/>
      <c r="AW27"/>
    </row>
    <row r="28" spans="1:49">
      <c r="A28" s="4" t="s">
        <v>48</v>
      </c>
      <c r="B28" s="4">
        <f>(PI()*(B26/20)^2)*100/B27</f>
        <v>10.05309649148734</v>
      </c>
      <c r="C28" s="3"/>
      <c r="D28" s="3"/>
      <c r="AR28"/>
      <c r="AS28"/>
      <c r="AT28"/>
      <c r="AU28"/>
      <c r="AV28"/>
      <c r="AW28"/>
    </row>
    <row r="29" spans="1:49">
      <c r="A29" s="4" t="s">
        <v>54</v>
      </c>
      <c r="B29" s="4">
        <f>1000*B28/(B6*100)</f>
        <v>3.8665755736489769</v>
      </c>
      <c r="C29" s="3"/>
      <c r="D29" s="3"/>
      <c r="AR29"/>
      <c r="AS29"/>
      <c r="AT29"/>
      <c r="AU29"/>
      <c r="AV29"/>
      <c r="AW29"/>
    </row>
    <row r="30" spans="1:49">
      <c r="A30" s="4" t="s">
        <v>59</v>
      </c>
      <c r="B30" s="4">
        <f>B28/(B7*(B6-B8))</f>
        <v>4.4680428851054848E-3</v>
      </c>
      <c r="C30" s="3"/>
      <c r="D30" s="3"/>
      <c r="AR30"/>
      <c r="AS30"/>
      <c r="AT30"/>
      <c r="AU30"/>
      <c r="AV30"/>
      <c r="AW30"/>
    </row>
    <row r="31" spans="1:49" ht="15" thickBot="1">
      <c r="A31" s="29" t="s">
        <v>47</v>
      </c>
      <c r="B31" s="29"/>
      <c r="C31" s="3"/>
      <c r="D31" s="3"/>
      <c r="AR31"/>
      <c r="AS31"/>
      <c r="AT31"/>
      <c r="AU31"/>
      <c r="AV31"/>
      <c r="AW31"/>
    </row>
    <row r="32" spans="1:49" ht="15" thickTop="1">
      <c r="A32" s="2" t="s">
        <v>7</v>
      </c>
      <c r="B32" s="11">
        <v>10</v>
      </c>
      <c r="C32" s="1"/>
      <c r="D32" s="1"/>
      <c r="AR32"/>
      <c r="AS32"/>
      <c r="AT32"/>
      <c r="AU32"/>
      <c r="AV32"/>
      <c r="AW32"/>
    </row>
    <row r="33" spans="1:49">
      <c r="A33" s="2" t="s">
        <v>11</v>
      </c>
      <c r="B33" s="11">
        <v>20</v>
      </c>
      <c r="C33" s="1"/>
      <c r="D33" s="1"/>
      <c r="AR33"/>
      <c r="AS33"/>
      <c r="AT33"/>
      <c r="AU33"/>
      <c r="AV33"/>
      <c r="AW33"/>
    </row>
    <row r="34" spans="1:49">
      <c r="A34" s="4" t="s">
        <v>49</v>
      </c>
      <c r="B34" s="4">
        <f>(PI()*(B32/20)^2)*100/B33</f>
        <v>3.9269908169872414</v>
      </c>
      <c r="C34" s="3"/>
      <c r="D34" s="3"/>
      <c r="AR34"/>
      <c r="AS34"/>
      <c r="AT34"/>
      <c r="AU34"/>
      <c r="AV34"/>
      <c r="AW34"/>
    </row>
    <row r="35" spans="1:49">
      <c r="A35" s="4" t="s">
        <v>50</v>
      </c>
      <c r="B35" s="4">
        <f>1000*B34/(B6*100)</f>
        <v>1.5103810834566314</v>
      </c>
      <c r="C35" s="4"/>
      <c r="D35" s="4"/>
      <c r="AR35"/>
      <c r="AS35"/>
      <c r="AT35"/>
      <c r="AU35"/>
      <c r="AV35"/>
      <c r="AW35"/>
    </row>
    <row r="36" spans="1:49">
      <c r="A36" s="4" t="s">
        <v>60</v>
      </c>
      <c r="B36" s="4">
        <f>B34/(B7*(B6-B8))</f>
        <v>1.7453292519943296E-3</v>
      </c>
      <c r="C36" s="4"/>
      <c r="D36" s="4"/>
      <c r="AR36"/>
      <c r="AS36"/>
      <c r="AT36"/>
      <c r="AU36"/>
      <c r="AV36"/>
      <c r="AW36"/>
    </row>
    <row r="37" spans="1:49">
      <c r="A37" s="31"/>
      <c r="B37" s="31"/>
      <c r="C37" s="31"/>
      <c r="D37" s="31"/>
      <c r="AR37"/>
      <c r="AS37"/>
      <c r="AT37"/>
      <c r="AU37"/>
      <c r="AV37"/>
      <c r="AW37"/>
    </row>
    <row r="38" spans="1:49">
      <c r="A38" s="2" t="s">
        <v>64</v>
      </c>
      <c r="B38" s="12">
        <v>50</v>
      </c>
      <c r="AR38"/>
      <c r="AS38"/>
      <c r="AT38"/>
      <c r="AU38"/>
      <c r="AV38"/>
      <c r="AW38"/>
    </row>
    <row r="39" spans="1:49">
      <c r="A39" s="4" t="s">
        <v>61</v>
      </c>
      <c r="B39" s="4">
        <f>((B18/MAX(B38,B18))^3)*B9+(1-(B18/MAX(B38,B18))^3)*B43</f>
        <v>82400.107709973352</v>
      </c>
      <c r="C39" s="4"/>
      <c r="D39" s="4"/>
      <c r="AR39"/>
      <c r="AS39"/>
      <c r="AT39"/>
      <c r="AU39"/>
      <c r="AV39"/>
      <c r="AW39"/>
    </row>
    <row r="40" spans="1:49">
      <c r="A40" s="4" t="s">
        <v>71</v>
      </c>
      <c r="B40" s="4">
        <f>B24*B30*(1+(B36/B30))*(-1+(1+(2*(1+(B36*B8)/(B30*B42)))/(B24*B30*((1+B36/B30)^2)))^(1/2))</f>
        <v>0.22202651829174633</v>
      </c>
      <c r="C40" s="4"/>
      <c r="D40" s="4"/>
      <c r="AR40"/>
      <c r="AS40"/>
      <c r="AT40"/>
      <c r="AU40"/>
      <c r="AV40"/>
      <c r="AW40"/>
    </row>
    <row r="41" spans="1:49">
      <c r="A41" s="4" t="s">
        <v>70</v>
      </c>
      <c r="B41" s="4">
        <f>B40*B42</f>
        <v>4.9955966615642922</v>
      </c>
      <c r="C41" s="4"/>
      <c r="D41" s="4"/>
      <c r="AR41"/>
      <c r="AS41"/>
      <c r="AT41"/>
      <c r="AU41"/>
      <c r="AV41"/>
      <c r="AW41"/>
    </row>
    <row r="42" spans="1:49">
      <c r="A42" s="4" t="s">
        <v>55</v>
      </c>
      <c r="B42" s="4">
        <f>B6-B8</f>
        <v>22.5</v>
      </c>
      <c r="C42" s="4"/>
      <c r="D42" s="4"/>
      <c r="AR42"/>
      <c r="AS42"/>
      <c r="AT42"/>
      <c r="AU42"/>
      <c r="AV42"/>
      <c r="AW42"/>
    </row>
    <row r="43" spans="1:49">
      <c r="A43" s="2" t="s">
        <v>62</v>
      </c>
      <c r="B43" s="4">
        <f>B24*B28*(B42-B41)*(B42-B41/3)+B24*B34*(B41-B8)*((B41/3)-B8)</f>
        <v>26816.242691170493</v>
      </c>
      <c r="C43" s="4"/>
      <c r="D43" s="4"/>
      <c r="AR43"/>
      <c r="AS43"/>
      <c r="AT43"/>
      <c r="AU43"/>
      <c r="AV43"/>
      <c r="AW43"/>
    </row>
    <row r="44" spans="1:49">
      <c r="B44" s="4"/>
      <c r="C44" s="4"/>
      <c r="D44" s="4"/>
      <c r="AR44"/>
      <c r="AS44"/>
      <c r="AT44"/>
      <c r="AU44"/>
      <c r="AV44"/>
      <c r="AW44"/>
    </row>
    <row r="45" spans="1:49">
      <c r="A45" s="4" t="s">
        <v>67</v>
      </c>
      <c r="B45" s="38">
        <f>B39</f>
        <v>82400.107709973352</v>
      </c>
      <c r="C45" s="38"/>
      <c r="D45" s="38"/>
      <c r="AR45"/>
      <c r="AS45"/>
      <c r="AT45"/>
      <c r="AU45"/>
      <c r="AV45"/>
      <c r="AW45"/>
    </row>
    <row r="46" spans="1:49" ht="43.2">
      <c r="A46" s="4" t="s">
        <v>17</v>
      </c>
      <c r="B46" s="4">
        <f>B9/B45</f>
        <v>1.7775057671306778</v>
      </c>
      <c r="C46" s="5" t="s">
        <v>41</v>
      </c>
      <c r="D46" s="12">
        <v>1.5</v>
      </c>
      <c r="AR46"/>
      <c r="AS46"/>
      <c r="AT46"/>
      <c r="AU46"/>
      <c r="AV46"/>
      <c r="AW46"/>
    </row>
    <row r="47" spans="1:49">
      <c r="A47" s="4"/>
      <c r="B47" s="4"/>
      <c r="C47" s="5"/>
      <c r="AR47"/>
      <c r="AS47"/>
      <c r="AT47"/>
      <c r="AU47"/>
      <c r="AV47"/>
      <c r="AW47"/>
    </row>
    <row r="48" spans="1:49">
      <c r="A48" s="2" t="s">
        <v>19</v>
      </c>
      <c r="B48" s="12">
        <v>1</v>
      </c>
      <c r="C48" s="4"/>
      <c r="AR48"/>
      <c r="AS48"/>
      <c r="AT48"/>
      <c r="AU48"/>
      <c r="AV48"/>
      <c r="AW48"/>
    </row>
    <row r="49" spans="1:49">
      <c r="B49" s="4">
        <f>B35</f>
        <v>1.5103810834566314</v>
      </c>
    </row>
    <row r="50" spans="1:49" ht="15" thickBot="1">
      <c r="B50" s="4"/>
    </row>
    <row r="51" spans="1:49" ht="15" thickBot="1">
      <c r="A51" s="34" t="s">
        <v>12</v>
      </c>
      <c r="B51" s="35" t="s">
        <v>69</v>
      </c>
      <c r="C51" s="34" t="s">
        <v>18</v>
      </c>
      <c r="D51" s="34" t="s">
        <v>20</v>
      </c>
      <c r="AR51"/>
      <c r="AS51"/>
      <c r="AT51"/>
      <c r="AU51"/>
      <c r="AV51"/>
      <c r="AW51"/>
    </row>
    <row r="52" spans="1:49" ht="15" thickBot="1">
      <c r="A52" s="34" t="s">
        <v>68</v>
      </c>
      <c r="B52" s="33">
        <v>2</v>
      </c>
      <c r="C52" s="33">
        <f>B52*(1+(50*B48/1000))</f>
        <v>2.1</v>
      </c>
      <c r="D52" s="33">
        <f>B52/C52</f>
        <v>0.95238095238095233</v>
      </c>
      <c r="AR52"/>
      <c r="AS52"/>
      <c r="AT52"/>
      <c r="AU52"/>
      <c r="AV52"/>
      <c r="AW52"/>
    </row>
    <row r="53" spans="1:49" ht="15" thickBot="1">
      <c r="A53" s="34" t="s">
        <v>13</v>
      </c>
      <c r="B53" s="33">
        <v>1.4</v>
      </c>
      <c r="C53" s="33">
        <f>B53*(1+(50*B48/1000))</f>
        <v>1.47</v>
      </c>
      <c r="D53" s="33">
        <f t="shared" ref="D53:D58" si="0">B53/C53</f>
        <v>0.95238095238095233</v>
      </c>
      <c r="AR53"/>
      <c r="AS53"/>
      <c r="AT53"/>
      <c r="AU53"/>
      <c r="AV53"/>
      <c r="AW53"/>
    </row>
    <row r="54" spans="1:49" ht="15" thickBot="1">
      <c r="A54" s="34" t="s">
        <v>14</v>
      </c>
      <c r="B54" s="33">
        <v>1.2</v>
      </c>
      <c r="C54" s="33">
        <f>B54*(1+(50*B48/1000))</f>
        <v>1.26</v>
      </c>
      <c r="D54" s="33">
        <f t="shared" si="0"/>
        <v>0.95238095238095233</v>
      </c>
      <c r="AR54"/>
      <c r="AS54"/>
      <c r="AT54"/>
      <c r="AU54"/>
      <c r="AV54"/>
      <c r="AW54"/>
    </row>
    <row r="55" spans="1:49" ht="15" thickBot="1">
      <c r="A55" s="34" t="s">
        <v>32</v>
      </c>
      <c r="B55" s="33">
        <v>1</v>
      </c>
      <c r="C55" s="33">
        <f>B55*(1+(50*B48/1000))</f>
        <v>1.05</v>
      </c>
      <c r="D55" s="33">
        <f t="shared" si="0"/>
        <v>0.95238095238095233</v>
      </c>
      <c r="AR55"/>
      <c r="AS55"/>
      <c r="AT55"/>
      <c r="AU55"/>
      <c r="AV55"/>
      <c r="AW55"/>
    </row>
    <row r="56" spans="1:49" ht="15" thickBot="1">
      <c r="A56" s="34" t="s">
        <v>31</v>
      </c>
      <c r="B56" s="33">
        <v>0.8</v>
      </c>
      <c r="C56" s="33">
        <f>B56*(1+(50*B48/1000))</f>
        <v>0.84000000000000008</v>
      </c>
      <c r="D56" s="33">
        <f t="shared" si="0"/>
        <v>0.95238095238095233</v>
      </c>
      <c r="AR56"/>
      <c r="AS56"/>
      <c r="AT56"/>
      <c r="AU56"/>
      <c r="AV56"/>
      <c r="AW56"/>
    </row>
    <row r="57" spans="1:49" ht="15" thickBot="1">
      <c r="A57" s="34" t="s">
        <v>15</v>
      </c>
      <c r="B57" s="33">
        <v>0.7</v>
      </c>
      <c r="C57" s="33">
        <f>B57*(1+(50*B48/1000))</f>
        <v>0.73499999999999999</v>
      </c>
      <c r="D57" s="33">
        <f t="shared" si="0"/>
        <v>0.95238095238095233</v>
      </c>
      <c r="AR57"/>
      <c r="AS57"/>
      <c r="AT57"/>
      <c r="AU57"/>
      <c r="AV57"/>
      <c r="AW57"/>
    </row>
    <row r="58" spans="1:49" ht="15" thickBot="1">
      <c r="A58" s="34" t="s">
        <v>16</v>
      </c>
      <c r="B58" s="33">
        <v>0.5</v>
      </c>
      <c r="C58" s="33">
        <f>B58*(1+(50*B48/1000))</f>
        <v>0.52500000000000002</v>
      </c>
      <c r="D58" s="33">
        <f t="shared" si="0"/>
        <v>0.95238095238095233</v>
      </c>
      <c r="AR58"/>
      <c r="AS58"/>
      <c r="AT58"/>
      <c r="AU58"/>
      <c r="AV58"/>
      <c r="AW58"/>
    </row>
    <row r="59" spans="1:49" ht="15" thickBot="1">
      <c r="AR59"/>
      <c r="AS59"/>
      <c r="AT59"/>
      <c r="AU59"/>
      <c r="AV59"/>
      <c r="AW59"/>
    </row>
    <row r="60" spans="1:49" ht="15" thickBot="1">
      <c r="A60" s="25" t="s">
        <v>22</v>
      </c>
      <c r="B60" s="6" t="s">
        <v>23</v>
      </c>
      <c r="C60" s="6" t="s">
        <v>12</v>
      </c>
      <c r="D60" s="27" t="s">
        <v>46</v>
      </c>
      <c r="E60" s="36"/>
      <c r="AR60"/>
      <c r="AS60"/>
      <c r="AT60"/>
      <c r="AU60"/>
      <c r="AV60"/>
      <c r="AW60"/>
    </row>
    <row r="61" spans="1:49" ht="15" thickBot="1">
      <c r="A61" s="26"/>
      <c r="B61" s="7" t="s">
        <v>24</v>
      </c>
      <c r="C61" s="7" t="s">
        <v>25</v>
      </c>
      <c r="D61" s="28"/>
      <c r="E61" s="36"/>
      <c r="AR61"/>
      <c r="AS61"/>
      <c r="AT61"/>
      <c r="AU61"/>
      <c r="AV61"/>
      <c r="AW61"/>
    </row>
    <row r="62" spans="1:49" ht="15" thickBot="1">
      <c r="A62" s="26" t="s">
        <v>26</v>
      </c>
      <c r="B62" s="8">
        <f>B10</f>
        <v>6.5</v>
      </c>
      <c r="C62" s="8">
        <v>28</v>
      </c>
      <c r="D62" s="9">
        <f>B52-B57</f>
        <v>1.3</v>
      </c>
      <c r="E62" s="36"/>
      <c r="AR62"/>
      <c r="AS62"/>
      <c r="AT62"/>
      <c r="AU62"/>
      <c r="AV62"/>
      <c r="AW62"/>
    </row>
    <row r="63" spans="1:49" ht="15" thickBot="1">
      <c r="A63" s="26" t="s">
        <v>27</v>
      </c>
      <c r="B63" s="8">
        <f>B11</f>
        <v>1</v>
      </c>
      <c r="C63" s="8">
        <v>60</v>
      </c>
      <c r="D63" s="9">
        <f>B52-B56</f>
        <v>1.2</v>
      </c>
      <c r="E63" s="36"/>
      <c r="AR63"/>
      <c r="AS63"/>
      <c r="AT63"/>
      <c r="AU63"/>
      <c r="AV63"/>
      <c r="AW63"/>
    </row>
    <row r="64" spans="1:49" ht="15" thickBot="1">
      <c r="A64" s="26" t="s">
        <v>5</v>
      </c>
      <c r="B64" s="8">
        <f>B12</f>
        <v>1</v>
      </c>
      <c r="C64" s="8">
        <v>120</v>
      </c>
      <c r="D64" s="9">
        <f>B52-B55</f>
        <v>1</v>
      </c>
      <c r="E64" s="37"/>
      <c r="AR64"/>
      <c r="AS64"/>
      <c r="AT64"/>
      <c r="AU64"/>
      <c r="AV64"/>
      <c r="AW64"/>
    </row>
    <row r="65" spans="1:49" ht="15" thickBot="1">
      <c r="A65" s="26" t="s">
        <v>28</v>
      </c>
      <c r="B65" s="8">
        <f>B13</f>
        <v>2</v>
      </c>
      <c r="C65" s="8">
        <v>365</v>
      </c>
      <c r="D65" s="9">
        <f>B52-B53</f>
        <v>0.60000000000000009</v>
      </c>
      <c r="E65" s="37"/>
      <c r="AR65"/>
      <c r="AS65"/>
      <c r="AT65"/>
      <c r="AU65"/>
      <c r="AV65"/>
      <c r="AW65"/>
    </row>
    <row r="66" spans="1:49">
      <c r="B66" s="16"/>
      <c r="C66" s="17"/>
      <c r="D66" s="17"/>
      <c r="E66" s="18"/>
      <c r="F66" s="19"/>
      <c r="AR66"/>
      <c r="AS66"/>
      <c r="AT66"/>
      <c r="AU66"/>
      <c r="AV66"/>
      <c r="AW66"/>
    </row>
    <row r="67" spans="1:49">
      <c r="A67" s="4" t="s">
        <v>30</v>
      </c>
      <c r="B67" s="13">
        <v>0.3</v>
      </c>
      <c r="AR67"/>
      <c r="AS67"/>
      <c r="AT67"/>
      <c r="AU67"/>
      <c r="AV67"/>
      <c r="AW67"/>
    </row>
    <row r="68" spans="1:49">
      <c r="A68" s="4" t="s">
        <v>34</v>
      </c>
      <c r="B68" s="4">
        <f>(D62*B10+D63*B11+D64*B12+D65*(B67*B13))/(B10+B11+B12+B13)</f>
        <v>1.0485714285714285</v>
      </c>
      <c r="AR68"/>
      <c r="AS68"/>
      <c r="AT68"/>
      <c r="AU68"/>
      <c r="AV68"/>
      <c r="AW68"/>
    </row>
    <row r="69" spans="1:49">
      <c r="A69" s="4" t="s">
        <v>35</v>
      </c>
      <c r="B69" s="4">
        <f>(D63*B10+D63*B11+D64*B12+D65*B67*B13)/(B10+B11+B12+B13)</f>
        <v>0.98666666666666658</v>
      </c>
      <c r="AR69"/>
      <c r="AS69"/>
      <c r="AT69"/>
      <c r="AU69"/>
      <c r="AV69"/>
      <c r="AW69"/>
    </row>
    <row r="70" spans="1:49" ht="28.8">
      <c r="A70" s="5" t="s">
        <v>36</v>
      </c>
      <c r="B70" s="4">
        <f>B68*D52</f>
        <v>0.99863945578231283</v>
      </c>
      <c r="AR70"/>
      <c r="AS70"/>
      <c r="AT70"/>
      <c r="AU70"/>
      <c r="AV70"/>
      <c r="AW70"/>
    </row>
    <row r="71" spans="1:49" ht="28.8">
      <c r="A71" s="5" t="s">
        <v>37</v>
      </c>
      <c r="B71" s="4">
        <f>B69*D52</f>
        <v>0.93968253968253956</v>
      </c>
      <c r="AR71"/>
      <c r="AS71"/>
      <c r="AT71"/>
      <c r="AU71"/>
      <c r="AV71"/>
      <c r="AW71"/>
    </row>
    <row r="72" spans="1:49" ht="28.8">
      <c r="A72" s="10" t="s">
        <v>38</v>
      </c>
      <c r="B72" s="4">
        <f>MAX(B9/B45,D46)</f>
        <v>1.7775057671306778</v>
      </c>
      <c r="AR72"/>
      <c r="AS72"/>
      <c r="AT72"/>
      <c r="AU72"/>
      <c r="AV72"/>
      <c r="AW72"/>
    </row>
    <row r="73" spans="1:49" s="2" customFormat="1" ht="28.8">
      <c r="A73" s="10" t="s">
        <v>39</v>
      </c>
      <c r="B73" s="4">
        <f>B72*(B11+B12+B13)/(B10+B11+B12+B13)</f>
        <v>0.67714505414502013</v>
      </c>
    </row>
    <row r="74" spans="1:49" s="2" customFormat="1" ht="25.8">
      <c r="A74" s="14" t="s">
        <v>33</v>
      </c>
      <c r="B74" s="15">
        <f>B72*(1+B70)</f>
        <v>3.5525931590679805</v>
      </c>
    </row>
    <row r="75" spans="1:49" s="2" customFormat="1" ht="25.8">
      <c r="A75" s="14" t="s">
        <v>40</v>
      </c>
      <c r="B75" s="15">
        <f>B73+B71*B72</f>
        <v>2.3474361877027361</v>
      </c>
    </row>
  </sheetData>
  <mergeCells count="1">
    <mergeCell ref="B45:D45"/>
  </mergeCells>
  <pageMargins left="0.7" right="0.7" top="0.75" bottom="0.75" header="0.3" footer="0.3"/>
  <pageSetup paperSize="9" orientation="portrait" horizontalDpi="200" verticalDpi="2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Vanos exteriores</vt:lpstr>
      <vt:lpstr>Voladizos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2020-11-18T10:00:22Z</dcterms:modified>
</cp:coreProperties>
</file>